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lana\Desktop\СОВЕТ _ ХХ.10.2023\"/>
    </mc:Choice>
  </mc:AlternateContent>
  <bookViews>
    <workbookView xWindow="0" yWindow="0" windowWidth="28800" windowHeight="12330"/>
  </bookViews>
  <sheets>
    <sheet name="Штатное №2" sheetId="4" r:id="rId1"/>
    <sheet name="Структура №2" sheetId="6" r:id="rId2"/>
    <sheet name="Расчет ФОТ №2 с 2-я спецами 2 к" sheetId="7" state="hidden" r:id="rId3"/>
  </sheets>
  <definedNames>
    <definedName name="_xlnm.Print_Area" localSheetId="0">'Штатное №2'!$A$1:$CS$48</definedName>
  </definedNames>
  <calcPr calcId="162913"/>
</workbook>
</file>

<file path=xl/calcChain.xml><?xml version="1.0" encoding="utf-8"?>
<calcChain xmlns="http://schemas.openxmlformats.org/spreadsheetml/2006/main">
  <c r="J30" i="7" l="1"/>
  <c r="M28" i="7"/>
  <c r="P28" i="7" s="1"/>
  <c r="D30" i="7"/>
  <c r="E28" i="7"/>
  <c r="F28" i="7" s="1"/>
  <c r="J78" i="7"/>
  <c r="D78" i="7"/>
  <c r="C78" i="7"/>
  <c r="E77" i="7"/>
  <c r="G77" i="7" s="1"/>
  <c r="E76" i="7"/>
  <c r="E75" i="7"/>
  <c r="G75" i="7" s="1"/>
  <c r="E74" i="7"/>
  <c r="E73" i="7"/>
  <c r="G73" i="7" s="1"/>
  <c r="J71" i="7"/>
  <c r="D71" i="7"/>
  <c r="C71" i="7"/>
  <c r="E70" i="7"/>
  <c r="E71" i="7" s="1"/>
  <c r="J69" i="7"/>
  <c r="E69" i="7"/>
  <c r="E68" i="7"/>
  <c r="G68" i="7" s="1"/>
  <c r="G69" i="7" s="1"/>
  <c r="J54" i="7"/>
  <c r="D54" i="7"/>
  <c r="C54" i="7"/>
  <c r="F53" i="7"/>
  <c r="E53" i="7"/>
  <c r="I53" i="7" s="1"/>
  <c r="E52" i="7"/>
  <c r="I52" i="7" s="1"/>
  <c r="E51" i="7"/>
  <c r="H51" i="7" s="1"/>
  <c r="Q35" i="7"/>
  <c r="M35" i="7"/>
  <c r="K35" i="7"/>
  <c r="J35" i="7"/>
  <c r="I35" i="7"/>
  <c r="H35" i="7"/>
  <c r="G35" i="7"/>
  <c r="F35" i="7"/>
  <c r="E35" i="7"/>
  <c r="P34" i="7"/>
  <c r="P35" i="7" s="1"/>
  <c r="O34" i="7"/>
  <c r="O35" i="7" s="1"/>
  <c r="N34" i="7"/>
  <c r="N35" i="7" s="1"/>
  <c r="L34" i="7"/>
  <c r="L35" i="7" s="1"/>
  <c r="E29" i="7"/>
  <c r="I29" i="7" s="1"/>
  <c r="E27" i="7"/>
  <c r="I27" i="7" s="1"/>
  <c r="E26" i="7"/>
  <c r="I26" i="7" s="1"/>
  <c r="C26" i="7"/>
  <c r="C27" i="7" s="1"/>
  <c r="C29" i="7" s="1"/>
  <c r="F25" i="7"/>
  <c r="E25" i="7"/>
  <c r="I25" i="7" s="1"/>
  <c r="E24" i="7"/>
  <c r="I24" i="7" s="1"/>
  <c r="B24" i="7"/>
  <c r="E23" i="7"/>
  <c r="I23" i="7" s="1"/>
  <c r="C23" i="7"/>
  <c r="G22" i="7"/>
  <c r="E22" i="7"/>
  <c r="T22" i="7" s="1"/>
  <c r="E21" i="7"/>
  <c r="I21" i="7" s="1"/>
  <c r="E20" i="7"/>
  <c r="M20" i="7" s="1"/>
  <c r="E19" i="7"/>
  <c r="T19" i="7" s="1"/>
  <c r="E18" i="7"/>
  <c r="T18" i="7" s="1"/>
  <c r="F17" i="7"/>
  <c r="E17" i="7"/>
  <c r="I17" i="7" s="1"/>
  <c r="E16" i="7"/>
  <c r="M16" i="7" s="1"/>
  <c r="E15" i="7"/>
  <c r="T15" i="7" s="1"/>
  <c r="R14" i="7"/>
  <c r="J13" i="7"/>
  <c r="D13" i="7"/>
  <c r="C13" i="7"/>
  <c r="E12" i="7"/>
  <c r="G12" i="7" s="1"/>
  <c r="G13" i="7" s="1"/>
  <c r="T10" i="7"/>
  <c r="M51" i="7" l="1"/>
  <c r="O51" i="7" s="1"/>
  <c r="I28" i="7"/>
  <c r="H15" i="7"/>
  <c r="M70" i="7"/>
  <c r="M71" i="7" s="1"/>
  <c r="H28" i="7"/>
  <c r="E30" i="7"/>
  <c r="J31" i="7"/>
  <c r="J36" i="7" s="1"/>
  <c r="H21" i="7"/>
  <c r="T21" i="7"/>
  <c r="G52" i="7"/>
  <c r="G28" i="7"/>
  <c r="G30" i="7" s="1"/>
  <c r="F51" i="7"/>
  <c r="H70" i="7"/>
  <c r="H71" i="7" s="1"/>
  <c r="C30" i="7"/>
  <c r="C31" i="7" s="1"/>
  <c r="C36" i="7" s="1"/>
  <c r="F21" i="7"/>
  <c r="H17" i="7"/>
  <c r="M22" i="7"/>
  <c r="O22" i="7" s="1"/>
  <c r="H53" i="7"/>
  <c r="H19" i="7"/>
  <c r="F70" i="7"/>
  <c r="F71" i="7" s="1"/>
  <c r="T17" i="7"/>
  <c r="M53" i="7"/>
  <c r="N53" i="7" s="1"/>
  <c r="G18" i="7"/>
  <c r="M18" i="7"/>
  <c r="O18" i="7" s="1"/>
  <c r="M27" i="7"/>
  <c r="H18" i="7"/>
  <c r="M12" i="7"/>
  <c r="P12" i="7" s="1"/>
  <c r="P13" i="7" s="1"/>
  <c r="O28" i="7"/>
  <c r="N28" i="7"/>
  <c r="Q28" i="7"/>
  <c r="M52" i="7"/>
  <c r="Q52" i="7" s="1"/>
  <c r="J79" i="7"/>
  <c r="H12" i="7"/>
  <c r="H13" i="7" s="1"/>
  <c r="M15" i="7"/>
  <c r="P15" i="7" s="1"/>
  <c r="G17" i="7"/>
  <c r="K17" i="7" s="1"/>
  <c r="L17" i="7" s="1"/>
  <c r="P18" i="7"/>
  <c r="M19" i="7"/>
  <c r="P19" i="7" s="1"/>
  <c r="G21" i="7"/>
  <c r="K21" i="7" s="1"/>
  <c r="L21" i="7" s="1"/>
  <c r="H22" i="7"/>
  <c r="F26" i="7"/>
  <c r="F29" i="7"/>
  <c r="F30" i="7" s="1"/>
  <c r="F52" i="7"/>
  <c r="O53" i="7"/>
  <c r="C79" i="7"/>
  <c r="M17" i="7"/>
  <c r="N17" i="7" s="1"/>
  <c r="M21" i="7"/>
  <c r="P22" i="7"/>
  <c r="F27" i="7"/>
  <c r="E54" i="7"/>
  <c r="H52" i="7"/>
  <c r="H54" i="7" s="1"/>
  <c r="D79" i="7"/>
  <c r="O17" i="7"/>
  <c r="P17" i="7"/>
  <c r="Q16" i="7"/>
  <c r="N16" i="7"/>
  <c r="P16" i="7"/>
  <c r="O16" i="7"/>
  <c r="Q20" i="7"/>
  <c r="P20" i="7"/>
  <c r="N20" i="7"/>
  <c r="O20" i="7"/>
  <c r="I16" i="7"/>
  <c r="I20" i="7"/>
  <c r="N15" i="7"/>
  <c r="F16" i="7"/>
  <c r="Q18" i="7"/>
  <c r="I19" i="7"/>
  <c r="N19" i="7"/>
  <c r="F20" i="7"/>
  <c r="Q22" i="7"/>
  <c r="T23" i="7"/>
  <c r="G23" i="7"/>
  <c r="D31" i="7"/>
  <c r="D36" i="7" s="1"/>
  <c r="M74" i="7"/>
  <c r="H74" i="7"/>
  <c r="G74" i="7"/>
  <c r="F74" i="7"/>
  <c r="M76" i="7"/>
  <c r="H76" i="7"/>
  <c r="G76" i="7"/>
  <c r="F76" i="7"/>
  <c r="O52" i="7"/>
  <c r="N52" i="7"/>
  <c r="I15" i="7"/>
  <c r="F12" i="7"/>
  <c r="F13" i="7" s="1"/>
  <c r="O12" i="7"/>
  <c r="O13" i="7" s="1"/>
  <c r="F15" i="7"/>
  <c r="G16" i="7"/>
  <c r="T16" i="7"/>
  <c r="I18" i="7"/>
  <c r="F19" i="7"/>
  <c r="G20" i="7"/>
  <c r="T20" i="7"/>
  <c r="Q21" i="7"/>
  <c r="I22" i="7"/>
  <c r="N22" i="7"/>
  <c r="F23" i="7"/>
  <c r="M23" i="7"/>
  <c r="I74" i="7"/>
  <c r="I76" i="7"/>
  <c r="M24" i="7"/>
  <c r="H24" i="7"/>
  <c r="T24" i="7"/>
  <c r="G24" i="7"/>
  <c r="F24" i="7"/>
  <c r="I12" i="7"/>
  <c r="I13" i="7" s="1"/>
  <c r="E13" i="7"/>
  <c r="G15" i="7"/>
  <c r="H16" i="7"/>
  <c r="F18" i="7"/>
  <c r="G19" i="7"/>
  <c r="H20" i="7"/>
  <c r="F22" i="7"/>
  <c r="H23" i="7"/>
  <c r="R34" i="7"/>
  <c r="G25" i="7"/>
  <c r="T25" i="7"/>
  <c r="G26" i="7"/>
  <c r="T26" i="7"/>
  <c r="G27" i="7"/>
  <c r="T27" i="7"/>
  <c r="G29" i="7"/>
  <c r="T29" i="7"/>
  <c r="G51" i="7"/>
  <c r="P51" i="7"/>
  <c r="G53" i="7"/>
  <c r="K53" i="7" s="1"/>
  <c r="L53" i="7" s="1"/>
  <c r="P53" i="7"/>
  <c r="H68" i="7"/>
  <c r="H69" i="7" s="1"/>
  <c r="M68" i="7"/>
  <c r="G70" i="7"/>
  <c r="G71" i="7" s="1"/>
  <c r="H73" i="7"/>
  <c r="M73" i="7"/>
  <c r="H75" i="7"/>
  <c r="M75" i="7"/>
  <c r="H77" i="7"/>
  <c r="M77" i="7"/>
  <c r="H25" i="7"/>
  <c r="K25" i="7" s="1"/>
  <c r="L25" i="7" s="1"/>
  <c r="M25" i="7"/>
  <c r="H26" i="7"/>
  <c r="M26" i="7"/>
  <c r="H27" i="7"/>
  <c r="H29" i="7"/>
  <c r="M29" i="7"/>
  <c r="M30" i="7" s="1"/>
  <c r="Q51" i="7"/>
  <c r="I68" i="7"/>
  <c r="I69" i="7" s="1"/>
  <c r="Q70" i="7"/>
  <c r="I73" i="7"/>
  <c r="I75" i="7"/>
  <c r="I77" i="7"/>
  <c r="E78" i="7"/>
  <c r="E79" i="7" s="1"/>
  <c r="I51" i="7"/>
  <c r="I54" i="7" s="1"/>
  <c r="N51" i="7"/>
  <c r="F68" i="7"/>
  <c r="F69" i="7" s="1"/>
  <c r="I70" i="7"/>
  <c r="I71" i="7" s="1"/>
  <c r="N70" i="7"/>
  <c r="N71" i="7" s="1"/>
  <c r="F73" i="7"/>
  <c r="F75" i="7"/>
  <c r="F77" i="7"/>
  <c r="K77" i="7" s="1"/>
  <c r="L77" i="7" s="1"/>
  <c r="K76" i="7" l="1"/>
  <c r="L76" i="7" s="1"/>
  <c r="K28" i="7"/>
  <c r="H30" i="7"/>
  <c r="H31" i="7" s="1"/>
  <c r="H36" i="7" s="1"/>
  <c r="F54" i="7"/>
  <c r="N18" i="7"/>
  <c r="N12" i="7"/>
  <c r="N13" i="7" s="1"/>
  <c r="I30" i="7"/>
  <c r="P70" i="7"/>
  <c r="P71" i="7" s="1"/>
  <c r="K68" i="7"/>
  <c r="K69" i="7" s="1"/>
  <c r="Q19" i="7"/>
  <c r="O54" i="7"/>
  <c r="Q53" i="7"/>
  <c r="R53" i="7" s="1"/>
  <c r="S53" i="7" s="1"/>
  <c r="Q15" i="7"/>
  <c r="R15" i="7" s="1"/>
  <c r="S15" i="7" s="1"/>
  <c r="O15" i="7"/>
  <c r="M13" i="7"/>
  <c r="Q12" i="7"/>
  <c r="K52" i="7"/>
  <c r="L52" i="7" s="1"/>
  <c r="O70" i="7"/>
  <c r="O71" i="7" s="1"/>
  <c r="R28" i="7"/>
  <c r="K22" i="7"/>
  <c r="L22" i="7" s="1"/>
  <c r="K24" i="7"/>
  <c r="L24" i="7" s="1"/>
  <c r="Q17" i="7"/>
  <c r="R17" i="7" s="1"/>
  <c r="S17" i="7" s="1"/>
  <c r="K16" i="7"/>
  <c r="L16" i="7" s="1"/>
  <c r="K27" i="7"/>
  <c r="L27" i="7" s="1"/>
  <c r="I31" i="7"/>
  <c r="I36" i="7" s="1"/>
  <c r="G78" i="7"/>
  <c r="G79" i="7" s="1"/>
  <c r="N21" i="7"/>
  <c r="P21" i="7"/>
  <c r="O21" i="7"/>
  <c r="F78" i="7"/>
  <c r="K75" i="7"/>
  <c r="L75" i="7" s="1"/>
  <c r="K18" i="7"/>
  <c r="L18" i="7" s="1"/>
  <c r="E31" i="7"/>
  <c r="E36" i="7" s="1"/>
  <c r="O19" i="7"/>
  <c r="P52" i="7"/>
  <c r="K74" i="7"/>
  <c r="L74" i="7" s="1"/>
  <c r="M54" i="7"/>
  <c r="R52" i="7"/>
  <c r="S52" i="7" s="1"/>
  <c r="R16" i="7"/>
  <c r="S16" i="7" s="1"/>
  <c r="K23" i="7"/>
  <c r="L23" i="7" s="1"/>
  <c r="K19" i="7"/>
  <c r="L19" i="7" s="1"/>
  <c r="K29" i="7"/>
  <c r="L29" i="7" s="1"/>
  <c r="K26" i="7"/>
  <c r="L26" i="7" s="1"/>
  <c r="T30" i="7"/>
  <c r="K20" i="7"/>
  <c r="L20" i="7" s="1"/>
  <c r="R51" i="7"/>
  <c r="S51" i="7" s="1"/>
  <c r="N54" i="7"/>
  <c r="N25" i="7"/>
  <c r="Q25" i="7"/>
  <c r="P25" i="7"/>
  <c r="O25" i="7"/>
  <c r="O75" i="7"/>
  <c r="N75" i="7"/>
  <c r="Q75" i="7"/>
  <c r="P75" i="7"/>
  <c r="I78" i="7"/>
  <c r="I79" i="7" s="1"/>
  <c r="Q54" i="7"/>
  <c r="Q74" i="7"/>
  <c r="P74" i="7"/>
  <c r="O74" i="7"/>
  <c r="N74" i="7"/>
  <c r="R18" i="7"/>
  <c r="S18" i="7" s="1"/>
  <c r="N27" i="7"/>
  <c r="Q27" i="7"/>
  <c r="P27" i="7"/>
  <c r="O27" i="7"/>
  <c r="N29" i="7"/>
  <c r="N30" i="7" s="1"/>
  <c r="Q29" i="7"/>
  <c r="Q30" i="7" s="1"/>
  <c r="P29" i="7"/>
  <c r="O29" i="7"/>
  <c r="O30" i="7" s="1"/>
  <c r="P54" i="7"/>
  <c r="G31" i="7"/>
  <c r="G36" i="7" s="1"/>
  <c r="Q13" i="7"/>
  <c r="K73" i="7"/>
  <c r="K70" i="7"/>
  <c r="R20" i="7"/>
  <c r="S20" i="7" s="1"/>
  <c r="R22" i="7"/>
  <c r="S22" i="7" s="1"/>
  <c r="Q71" i="7"/>
  <c r="R70" i="7"/>
  <c r="N26" i="7"/>
  <c r="Q26" i="7"/>
  <c r="P26" i="7"/>
  <c r="O26" i="7"/>
  <c r="O77" i="7"/>
  <c r="N77" i="7"/>
  <c r="Q77" i="7"/>
  <c r="P77" i="7"/>
  <c r="O73" i="7"/>
  <c r="M78" i="7"/>
  <c r="N73" i="7"/>
  <c r="Q73" i="7"/>
  <c r="P73" i="7"/>
  <c r="O68" i="7"/>
  <c r="O69" i="7" s="1"/>
  <c r="N68" i="7"/>
  <c r="N69" i="7" s="1"/>
  <c r="Q68" i="7"/>
  <c r="M69" i="7"/>
  <c r="P68" i="7"/>
  <c r="P69" i="7" s="1"/>
  <c r="R35" i="7"/>
  <c r="S34" i="7"/>
  <c r="S35" i="7" s="1"/>
  <c r="Q24" i="7"/>
  <c r="P24" i="7"/>
  <c r="O24" i="7"/>
  <c r="N24" i="7"/>
  <c r="P23" i="7"/>
  <c r="N23" i="7"/>
  <c r="Q23" i="7"/>
  <c r="O23" i="7"/>
  <c r="K15" i="7"/>
  <c r="K12" i="7"/>
  <c r="F79" i="7"/>
  <c r="H78" i="7"/>
  <c r="H79" i="7"/>
  <c r="G54" i="7"/>
  <c r="K51" i="7"/>
  <c r="R19" i="7"/>
  <c r="S19" i="7" s="1"/>
  <c r="F31" i="7"/>
  <c r="F36" i="7" s="1"/>
  <c r="Q76" i="7"/>
  <c r="P76" i="7"/>
  <c r="O76" i="7"/>
  <c r="N76" i="7"/>
  <c r="S28" i="7" l="1"/>
  <c r="L28" i="7"/>
  <c r="K30" i="7"/>
  <c r="P30" i="7"/>
  <c r="R12" i="7"/>
  <c r="S12" i="7" s="1"/>
  <c r="S13" i="7" s="1"/>
  <c r="L68" i="7"/>
  <c r="L69" i="7" s="1"/>
  <c r="R13" i="7"/>
  <c r="S38" i="7" s="1"/>
  <c r="R21" i="7"/>
  <c r="S21" i="7" s="1"/>
  <c r="R25" i="7"/>
  <c r="S25" i="7" s="1"/>
  <c r="R74" i="7"/>
  <c r="S74" i="7" s="1"/>
  <c r="S54" i="7"/>
  <c r="Q78" i="7"/>
  <c r="R73" i="7"/>
  <c r="S73" i="7" s="1"/>
  <c r="S70" i="7"/>
  <c r="S71" i="7" s="1"/>
  <c r="R71" i="7"/>
  <c r="K71" i="7"/>
  <c r="L70" i="7"/>
  <c r="L71" i="7" s="1"/>
  <c r="R29" i="7"/>
  <c r="S29" i="7" s="1"/>
  <c r="Q31" i="7"/>
  <c r="Q36" i="7" s="1"/>
  <c r="M31" i="7"/>
  <c r="M36" i="7" s="1"/>
  <c r="M37" i="7" s="1"/>
  <c r="M32" i="7"/>
  <c r="T11" i="7"/>
  <c r="R76" i="7"/>
  <c r="S76" i="7" s="1"/>
  <c r="R23" i="7"/>
  <c r="S23" i="7" s="1"/>
  <c r="N78" i="7"/>
  <c r="N79" i="7" s="1"/>
  <c r="R77" i="7"/>
  <c r="L73" i="7"/>
  <c r="L78" i="7" s="1"/>
  <c r="K78" i="7"/>
  <c r="K79" i="7" s="1"/>
  <c r="R27" i="7"/>
  <c r="S27" i="7" s="1"/>
  <c r="K54" i="7"/>
  <c r="L51" i="7"/>
  <c r="L54" i="7" s="1"/>
  <c r="R68" i="7"/>
  <c r="Q69" i="7"/>
  <c r="K13" i="7"/>
  <c r="L12" i="7"/>
  <c r="L13" i="7" s="1"/>
  <c r="R26" i="7"/>
  <c r="S26" i="7" s="1"/>
  <c r="O31" i="7"/>
  <c r="O36" i="7" s="1"/>
  <c r="R54" i="7"/>
  <c r="K31" i="7"/>
  <c r="K36" i="7" s="1"/>
  <c r="L15" i="7"/>
  <c r="R24" i="7"/>
  <c r="S24" i="7" s="1"/>
  <c r="M79" i="7"/>
  <c r="P78" i="7"/>
  <c r="P79" i="7" s="1"/>
  <c r="O78" i="7"/>
  <c r="O79" i="7" s="1"/>
  <c r="P31" i="7"/>
  <c r="P36" i="7" s="1"/>
  <c r="R75" i="7"/>
  <c r="S75" i="7" s="1"/>
  <c r="L30" i="7" l="1"/>
  <c r="Q79" i="7"/>
  <c r="R30" i="7"/>
  <c r="L31" i="7"/>
  <c r="L36" i="7" s="1"/>
  <c r="S30" i="7"/>
  <c r="L79" i="7"/>
  <c r="S31" i="7"/>
  <c r="S36" i="7" s="1"/>
  <c r="R78" i="7"/>
  <c r="R79" i="7" s="1"/>
  <c r="S77" i="7"/>
  <c r="S78" i="7" s="1"/>
  <c r="S68" i="7"/>
  <c r="S69" i="7" s="1"/>
  <c r="R69" i="7"/>
  <c r="N31" i="7"/>
  <c r="S79" i="7" l="1"/>
  <c r="S81" i="7" s="1"/>
  <c r="S85" i="7" s="1"/>
  <c r="R32" i="7"/>
  <c r="R37" i="7"/>
  <c r="S37" i="7" s="1"/>
  <c r="R31" i="7"/>
  <c r="R36" i="7" s="1"/>
  <c r="N36" i="7"/>
  <c r="BI34" i="4" l="1"/>
</calcChain>
</file>

<file path=xl/sharedStrings.xml><?xml version="1.0" encoding="utf-8"?>
<sst xmlns="http://schemas.openxmlformats.org/spreadsheetml/2006/main" count="245" uniqueCount="124">
  <si>
    <t xml:space="preserve">код </t>
  </si>
  <si>
    <t>(наименование организации)</t>
  </si>
  <si>
    <t>Номер документа</t>
  </si>
  <si>
    <t>Дата составления</t>
  </si>
  <si>
    <t>ШТАТНОЕ РАСПИСАНИЕ</t>
  </si>
  <si>
    <t>1</t>
  </si>
  <si>
    <t>на период</t>
  </si>
  <si>
    <t>с "</t>
  </si>
  <si>
    <t>"</t>
  </si>
  <si>
    <t>г.</t>
  </si>
  <si>
    <t>Структурное подразделение</t>
  </si>
  <si>
    <t>Должность (специальность, профессия), разряд, класс (категория) квалификации</t>
  </si>
  <si>
    <t>Количество штатных единиц</t>
  </si>
  <si>
    <t xml:space="preserve">Оклад 
в РЕ (в рублях у тех.долж.)
</t>
  </si>
  <si>
    <t>наименование</t>
  </si>
  <si>
    <t>Главный бухгалтер</t>
  </si>
  <si>
    <t>Отдел благоустройства</t>
  </si>
  <si>
    <t>Ведущий специалист</t>
  </si>
  <si>
    <t>Главный специалист</t>
  </si>
  <si>
    <t>Отдел опеки и попечительства</t>
  </si>
  <si>
    <t>Итого</t>
  </si>
  <si>
    <t>(должность)</t>
  </si>
  <si>
    <t>(личная подпись)</t>
  </si>
  <si>
    <t>(расшифровка подписи)</t>
  </si>
  <si>
    <t>Специалист 1 категории</t>
  </si>
  <si>
    <t>Юридический отдел</t>
  </si>
  <si>
    <t>Аппарат Главы местной администрации</t>
  </si>
  <si>
    <t>Руководитель отдела</t>
  </si>
  <si>
    <t>Курьер</t>
  </si>
  <si>
    <t>Техническая должность</t>
  </si>
  <si>
    <t>Местная администрация внутригородского мунципального образования города федерального значения Санкт-Петербурга мунципальный округ Купчино</t>
  </si>
  <si>
    <t>2</t>
  </si>
  <si>
    <t>2023 года</t>
  </si>
  <si>
    <t>23</t>
  </si>
  <si>
    <t>Глава Местной администрации</t>
  </si>
  <si>
    <t>Заместитель Главы местной администрации</t>
  </si>
  <si>
    <t>Общий отдел</t>
  </si>
  <si>
    <t>Специалист 2 категории</t>
  </si>
  <si>
    <t>Юнова Людмила Михайловна</t>
  </si>
  <si>
    <t xml:space="preserve">300 РЕ (29500 руб. у технической должности) </t>
  </si>
  <si>
    <t>Ответственный исполнитель</t>
  </si>
  <si>
    <t xml:space="preserve"> Местной администрации внутригородского мунципального образования города федерального значения Санкт-Петербурга мунципальный округ Купчино</t>
  </si>
  <si>
    <t>СТРУКТУРА</t>
  </si>
  <si>
    <t>Технический работник</t>
  </si>
  <si>
    <t>Глава</t>
  </si>
  <si>
    <t>Местной администрации</t>
  </si>
  <si>
    <t>Отдел благоустройства:</t>
  </si>
  <si>
    <t>Отдел опеки и попечительства:</t>
  </si>
  <si>
    <t>Общий отдел:</t>
  </si>
  <si>
    <t>Юридический отдел:</t>
  </si>
  <si>
    <t xml:space="preserve"> </t>
  </si>
  <si>
    <t>РАСЧЕТ фонда оплаты труда</t>
  </si>
  <si>
    <t>местной администрации муниципального образования "Купчино"</t>
  </si>
  <si>
    <t>на 2023 год</t>
  </si>
  <si>
    <t>Должность</t>
  </si>
  <si>
    <t>Кол-во</t>
  </si>
  <si>
    <t xml:space="preserve">Оклад </t>
  </si>
  <si>
    <t>Долж/оклад</t>
  </si>
  <si>
    <t>Надбавка</t>
  </si>
  <si>
    <t>Премия</t>
  </si>
  <si>
    <t>Матер.</t>
  </si>
  <si>
    <t>Надб. за</t>
  </si>
  <si>
    <t xml:space="preserve">Годовой    ФОТ                                             </t>
  </si>
  <si>
    <t xml:space="preserve"> 33 долж. Окладов</t>
  </si>
  <si>
    <t>НС и ПЗ</t>
  </si>
  <si>
    <t>ФСС</t>
  </si>
  <si>
    <t>ФОМС</t>
  </si>
  <si>
    <t>ПФР</t>
  </si>
  <si>
    <t>Итого начислено</t>
  </si>
  <si>
    <t>Итого ФОТ</t>
  </si>
  <si>
    <t>РЕ</t>
  </si>
  <si>
    <t>(в РЕ)</t>
  </si>
  <si>
    <t>РЕ=*1650</t>
  </si>
  <si>
    <t>за ОУС</t>
  </si>
  <si>
    <t>50% д/ок.</t>
  </si>
  <si>
    <t>помощь</t>
  </si>
  <si>
    <t>высл. лет</t>
  </si>
  <si>
    <t>клас чин</t>
  </si>
  <si>
    <t>за месяц</t>
  </si>
  <si>
    <t>2,9</t>
  </si>
  <si>
    <t>5,1</t>
  </si>
  <si>
    <t>22</t>
  </si>
  <si>
    <t>Высшие муниципальные должности</t>
  </si>
  <si>
    <t>Глава МА</t>
  </si>
  <si>
    <t xml:space="preserve">Итого </t>
  </si>
  <si>
    <t>Должности муниципальной службы</t>
  </si>
  <si>
    <t>Заместитель главы</t>
  </si>
  <si>
    <t>3</t>
  </si>
  <si>
    <t>Специалист 1 кат</t>
  </si>
  <si>
    <t>Специалист 2 кат</t>
  </si>
  <si>
    <t xml:space="preserve">ВСЕГО </t>
  </si>
  <si>
    <t>Технические специалисты</t>
  </si>
  <si>
    <t>Главный бухгалтер  ____________________  Юнова Л.М.</t>
  </si>
  <si>
    <t>д/оклад</t>
  </si>
  <si>
    <t>надбавка</t>
  </si>
  <si>
    <t>Годовой ФОТ</t>
  </si>
  <si>
    <t>33 долж. окладов</t>
  </si>
  <si>
    <t>ед.</t>
  </si>
  <si>
    <t>0,2</t>
  </si>
  <si>
    <t>Муниципального Совета муниципального образования "Купчино"</t>
  </si>
  <si>
    <t>НС</t>
  </si>
  <si>
    <t>Итого начисл</t>
  </si>
  <si>
    <t>Выборные муниципальные должности</t>
  </si>
  <si>
    <t>Глава МО</t>
  </si>
  <si>
    <t>Заместитель Главы МО</t>
  </si>
  <si>
    <t xml:space="preserve">Итого  </t>
  </si>
  <si>
    <t>Должности  муниципальной  службы</t>
  </si>
  <si>
    <t>Итого по МС</t>
  </si>
  <si>
    <t>Главный бухгалтер ________________ Занина Н.Е.</t>
  </si>
  <si>
    <t>факт</t>
  </si>
  <si>
    <t>план</t>
  </si>
  <si>
    <t>остаток</t>
  </si>
  <si>
    <t>Специалист 1 кат по 30.09.2023</t>
  </si>
  <si>
    <t>Специалист 2 кат с 01.10.2023</t>
  </si>
  <si>
    <t>ВСЕГО ПО МА без опеки</t>
  </si>
  <si>
    <t>27</t>
  </si>
  <si>
    <t>ноября</t>
  </si>
  <si>
    <t>вступает в силу с 27 ноября 2023г.</t>
  </si>
  <si>
    <t xml:space="preserve">Специалист 2 категории </t>
  </si>
  <si>
    <t xml:space="preserve">Приложение № </t>
  </si>
  <si>
    <t>к Решению МС МО "Купчино"  от хх.хх.2023г. № 34</t>
  </si>
  <si>
    <t>Приложение_</t>
  </si>
  <si>
    <t>хх.хх.2023</t>
  </si>
  <si>
    <t>к Решению МС МО "Купчино" от хх.хх.2023г. № хх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</si>
</sst>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u/>
      <sz val="8"/>
      <name val="Times New Roman"/>
      <family val="1"/>
      <charset val="204"/>
    </font>
    <font>
      <sz val="8"/>
      <color theme="0"/>
      <name val="Arial"/>
      <family val="2"/>
      <charset val="204"/>
    </font>
    <font>
      <sz val="8"/>
      <color rgb="FFFF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227">
    <xf numFmtId="0" fontId="0" fillId="0" borderId="0" xfId="0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/>
    <xf numFmtId="0" fontId="2" fillId="0" borderId="0" xfId="1" applyFont="1" applyFill="1" applyBorder="1"/>
    <xf numFmtId="0" fontId="2" fillId="0" borderId="0" xfId="1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right"/>
    </xf>
    <xf numFmtId="0" fontId="4" fillId="0" borderId="0" xfId="1" applyFont="1" applyFill="1" applyAlignment="1">
      <alignment horizontal="right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Alignment="1">
      <alignment horizontal="right"/>
    </xf>
    <xf numFmtId="0" fontId="4" fillId="0" borderId="0" xfId="1" applyFont="1" applyFill="1"/>
    <xf numFmtId="0" fontId="6" fillId="0" borderId="0" xfId="1" applyFont="1" applyFill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0" fontId="14" fillId="0" borderId="0" xfId="0" applyNumberFormat="1" applyFont="1" applyFill="1" applyBorder="1" applyAlignment="1" applyProtection="1">
      <alignment horizontal="center" vertical="center" shrinkToFit="1"/>
    </xf>
    <xf numFmtId="0" fontId="17" fillId="0" borderId="0" xfId="0" applyNumberFormat="1" applyFont="1" applyFill="1" applyBorder="1" applyAlignment="1" applyProtection="1">
      <alignment horizontal="center" vertical="center" shrinkToFit="1"/>
    </xf>
    <xf numFmtId="0" fontId="14" fillId="0" borderId="7" xfId="0" applyNumberFormat="1" applyFont="1" applyFill="1" applyBorder="1" applyAlignment="1" applyProtection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4" fontId="3" fillId="0" borderId="11" xfId="0" applyNumberFormat="1" applyFont="1" applyBorder="1" applyAlignment="1">
      <alignment horizontal="center" vertical="center" shrinkToFit="1"/>
    </xf>
    <xf numFmtId="4" fontId="3" fillId="0" borderId="8" xfId="0" applyNumberFormat="1" applyFont="1" applyBorder="1" applyAlignment="1">
      <alignment horizontal="center" vertical="center" shrinkToFit="1"/>
    </xf>
    <xf numFmtId="4" fontId="3" fillId="0" borderId="7" xfId="0" applyNumberFormat="1" applyFont="1" applyFill="1" applyBorder="1" applyAlignment="1" applyProtection="1">
      <alignment horizontal="center" vertical="center" wrapText="1" shrinkToFit="1"/>
    </xf>
    <xf numFmtId="4" fontId="17" fillId="2" borderId="8" xfId="0" applyNumberFormat="1" applyFont="1" applyFill="1" applyBorder="1" applyAlignment="1" applyProtection="1">
      <alignment horizontal="center" vertical="center" wrapText="1" shrinkToFit="1"/>
    </xf>
    <xf numFmtId="4" fontId="3" fillId="0" borderId="1" xfId="0" applyNumberFormat="1" applyFont="1" applyFill="1" applyBorder="1" applyAlignment="1" applyProtection="1">
      <alignment horizontal="center" vertical="center" shrinkToFit="1"/>
    </xf>
    <xf numFmtId="4" fontId="3" fillId="0" borderId="4" xfId="0" applyNumberFormat="1" applyFont="1" applyFill="1" applyBorder="1" applyAlignment="1" applyProtection="1">
      <alignment horizontal="center" vertical="center" shrinkToFit="1"/>
    </xf>
    <xf numFmtId="4" fontId="5" fillId="2" borderId="11" xfId="0" applyNumberFormat="1" applyFont="1" applyFill="1" applyBorder="1" applyAlignment="1" applyProtection="1">
      <alignment horizontal="center" vertical="center" wrapText="1" shrinkToFit="1"/>
    </xf>
    <xf numFmtId="4" fontId="3" fillId="0" borderId="11" xfId="0" applyNumberFormat="1" applyFont="1" applyFill="1" applyBorder="1" applyAlignment="1" applyProtection="1">
      <alignment horizontal="center" vertical="center" wrapText="1" shrinkToFit="1"/>
    </xf>
    <xf numFmtId="4" fontId="14" fillId="0" borderId="0" xfId="0" applyNumberFormat="1" applyFont="1" applyFill="1" applyBorder="1" applyAlignment="1" applyProtection="1">
      <alignment vertical="center" shrinkToFit="1"/>
    </xf>
    <xf numFmtId="0" fontId="14" fillId="0" borderId="0" xfId="0" applyNumberFormat="1" applyFont="1" applyFill="1" applyBorder="1" applyAlignment="1" applyProtection="1">
      <alignment vertical="center" shrinkToFit="1"/>
    </xf>
    <xf numFmtId="0" fontId="14" fillId="0" borderId="9" xfId="0" applyNumberFormat="1" applyFont="1" applyFill="1" applyBorder="1" applyAlignment="1" applyProtection="1">
      <alignment horizontal="center" vertical="center" shrinkToFit="1"/>
    </xf>
    <xf numFmtId="0" fontId="3" fillId="0" borderId="13" xfId="0" applyNumberFormat="1" applyFont="1" applyFill="1" applyBorder="1" applyAlignment="1" applyProtection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4" fontId="3" fillId="0" borderId="13" xfId="0" applyNumberFormat="1" applyFont="1" applyBorder="1" applyAlignment="1">
      <alignment horizontal="center" vertical="center" shrinkToFit="1"/>
    </xf>
    <xf numFmtId="4" fontId="3" fillId="0" borderId="10" xfId="0" applyNumberFormat="1" applyFont="1" applyBorder="1" applyAlignment="1">
      <alignment horizontal="center" vertical="center" shrinkToFit="1"/>
    </xf>
    <xf numFmtId="4" fontId="3" fillId="0" borderId="9" xfId="0" applyNumberFormat="1" applyFont="1" applyFill="1" applyBorder="1" applyAlignment="1" applyProtection="1">
      <alignment horizontal="center" vertical="center" wrapText="1" shrinkToFit="1"/>
    </xf>
    <xf numFmtId="4" fontId="3" fillId="2" borderId="10" xfId="0" applyNumberFormat="1" applyFont="1" applyFill="1" applyBorder="1" applyAlignment="1" applyProtection="1">
      <alignment horizontal="center" vertical="center" wrapText="1" shrinkToFit="1"/>
    </xf>
    <xf numFmtId="4" fontId="5" fillId="2" borderId="13" xfId="0" applyNumberFormat="1" applyFont="1" applyFill="1" applyBorder="1" applyAlignment="1" applyProtection="1">
      <alignment horizontal="center" vertical="center" wrapText="1" shrinkToFit="1"/>
    </xf>
    <xf numFmtId="4" fontId="3" fillId="0" borderId="13" xfId="0" applyNumberFormat="1" applyFont="1" applyFill="1" applyBorder="1" applyAlignment="1" applyProtection="1">
      <alignment horizontal="center" vertical="center" wrapText="1" shrinkToFit="1"/>
    </xf>
    <xf numFmtId="0" fontId="14" fillId="0" borderId="1" xfId="0" applyNumberFormat="1" applyFont="1" applyFill="1" applyBorder="1" applyAlignment="1" applyProtection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center" vertical="center" shrinkToFit="1"/>
    </xf>
    <xf numFmtId="0" fontId="5" fillId="2" borderId="1" xfId="0" applyNumberFormat="1" applyFont="1" applyFill="1" applyBorder="1" applyAlignment="1" applyProtection="1">
      <alignment horizontal="center" vertical="center" shrinkToFit="1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0" fontId="14" fillId="2" borderId="11" xfId="0" applyNumberFormat="1" applyFont="1" applyFill="1" applyBorder="1" applyAlignment="1" applyProtection="1">
      <alignment horizontal="center" vertical="center" shrinkToFit="1"/>
    </xf>
    <xf numFmtId="0" fontId="14" fillId="0" borderId="13" xfId="0" applyNumberFormat="1" applyFont="1" applyFill="1" applyBorder="1" applyAlignment="1" applyProtection="1">
      <alignment horizontal="center" vertical="center" shrinkToFit="1"/>
    </xf>
    <xf numFmtId="0" fontId="14" fillId="0" borderId="11" xfId="0" applyNumberFormat="1" applyFont="1" applyFill="1" applyBorder="1" applyAlignment="1" applyProtection="1">
      <alignment horizontal="center" vertical="center" shrinkToFit="1"/>
    </xf>
    <xf numFmtId="0" fontId="14" fillId="2" borderId="13" xfId="0" applyNumberFormat="1" applyFont="1" applyFill="1" applyBorder="1" applyAlignment="1" applyProtection="1">
      <alignment horizontal="center" vertical="center" shrinkToFit="1"/>
    </xf>
    <xf numFmtId="4" fontId="17" fillId="2" borderId="11" xfId="0" applyNumberFormat="1" applyFont="1" applyFill="1" applyBorder="1" applyAlignment="1" applyProtection="1">
      <alignment horizontal="center" vertical="center" wrapText="1" shrinkToFit="1"/>
    </xf>
    <xf numFmtId="4" fontId="14" fillId="0" borderId="0" xfId="0" applyNumberFormat="1" applyFont="1" applyFill="1" applyBorder="1" applyAlignment="1" applyProtection="1">
      <alignment horizontal="center" vertical="center" shrinkToFit="1"/>
    </xf>
    <xf numFmtId="0" fontId="16" fillId="0" borderId="11" xfId="0" applyNumberFormat="1" applyFont="1" applyFill="1" applyBorder="1" applyAlignment="1" applyProtection="1">
      <alignment horizontal="center" vertical="center" shrinkToFit="1"/>
    </xf>
    <xf numFmtId="0" fontId="16" fillId="0" borderId="0" xfId="0" applyNumberFormat="1" applyFont="1" applyFill="1" applyBorder="1" applyAlignment="1" applyProtection="1">
      <alignment horizontal="center" vertical="center" shrinkToFit="1"/>
    </xf>
    <xf numFmtId="0" fontId="3" fillId="0" borderId="9" xfId="0" applyNumberFormat="1" applyFont="1" applyFill="1" applyBorder="1" applyAlignment="1" applyProtection="1">
      <alignment horizontal="center" vertical="center" wrapText="1" shrinkToFit="1"/>
    </xf>
    <xf numFmtId="0" fontId="3" fillId="2" borderId="1" xfId="0" applyNumberFormat="1" applyFont="1" applyFill="1" applyBorder="1" applyAlignment="1" applyProtection="1">
      <alignment horizontal="center" vertical="center" shrinkToFit="1"/>
    </xf>
    <xf numFmtId="43" fontId="14" fillId="0" borderId="0" xfId="2" applyFont="1" applyFill="1" applyBorder="1" applyAlignment="1" applyProtection="1">
      <alignment horizontal="center" vertical="center" shrinkToFit="1"/>
    </xf>
    <xf numFmtId="4" fontId="14" fillId="2" borderId="0" xfId="0" applyNumberFormat="1" applyFont="1" applyFill="1" applyBorder="1" applyAlignment="1" applyProtection="1">
      <alignment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0" fontId="18" fillId="0" borderId="0" xfId="0" applyNumberFormat="1" applyFont="1" applyFill="1" applyBorder="1" applyAlignment="1" applyProtection="1">
      <alignment vertical="center" shrinkToFit="1"/>
    </xf>
    <xf numFmtId="3" fontId="15" fillId="0" borderId="0" xfId="0" applyNumberFormat="1" applyFont="1" applyFill="1" applyBorder="1" applyAlignment="1" applyProtection="1">
      <alignment vertical="center" shrinkToFit="1"/>
    </xf>
    <xf numFmtId="0" fontId="5" fillId="0" borderId="9" xfId="0" applyNumberFormat="1" applyFont="1" applyFill="1" applyBorder="1" applyAlignment="1" applyProtection="1">
      <alignment horizontal="left" vertical="center" shrinkToFit="1"/>
    </xf>
    <xf numFmtId="0" fontId="5" fillId="0" borderId="2" xfId="0" applyNumberFormat="1" applyFont="1" applyFill="1" applyBorder="1" applyAlignment="1" applyProtection="1">
      <alignment horizontal="left" vertical="center" shrinkToFit="1"/>
    </xf>
    <xf numFmtId="0" fontId="5" fillId="0" borderId="10" xfId="0" applyNumberFormat="1" applyFont="1" applyFill="1" applyBorder="1" applyAlignment="1" applyProtection="1">
      <alignment horizontal="left" vertical="center" shrinkToFit="1"/>
    </xf>
    <xf numFmtId="4" fontId="14" fillId="0" borderId="4" xfId="0" applyNumberFormat="1" applyFont="1" applyFill="1" applyBorder="1" applyAlignment="1" applyProtection="1">
      <alignment horizontal="left" vertical="center" shrinkToFit="1"/>
    </xf>
    <xf numFmtId="4" fontId="14" fillId="0" borderId="5" xfId="0" applyNumberFormat="1" applyFont="1" applyFill="1" applyBorder="1" applyAlignment="1" applyProtection="1">
      <alignment horizontal="left" vertical="center" shrinkToFit="1"/>
    </xf>
    <xf numFmtId="4" fontId="14" fillId="0" borderId="6" xfId="0" applyNumberFormat="1" applyFont="1" applyFill="1" applyBorder="1" applyAlignment="1" applyProtection="1">
      <alignment horizontal="left" vertical="center" shrinkToFit="1"/>
    </xf>
    <xf numFmtId="4" fontId="14" fillId="0" borderId="1" xfId="0" applyNumberFormat="1" applyFont="1" applyFill="1" applyBorder="1" applyAlignment="1" applyProtection="1">
      <alignment horizontal="left" vertical="center" shrinkToFit="1"/>
    </xf>
    <xf numFmtId="4" fontId="14" fillId="2" borderId="1" xfId="0" applyNumberFormat="1" applyFont="1" applyFill="1" applyBorder="1" applyAlignment="1" applyProtection="1">
      <alignment horizontal="left" vertical="center" shrinkToFit="1"/>
    </xf>
    <xf numFmtId="0" fontId="3" fillId="0" borderId="1" xfId="0" applyNumberFormat="1" applyFont="1" applyFill="1" applyBorder="1" applyAlignment="1" applyProtection="1">
      <alignment horizontal="left" vertical="center" shrinkToFit="1"/>
    </xf>
    <xf numFmtId="4" fontId="5" fillId="2" borderId="1" xfId="0" applyNumberFormat="1" applyFont="1" applyFill="1" applyBorder="1" applyAlignment="1" applyProtection="1">
      <alignment horizontal="center" vertical="center" shrinkToFit="1"/>
    </xf>
    <xf numFmtId="0" fontId="5" fillId="2" borderId="1" xfId="0" applyNumberFormat="1" applyFont="1" applyFill="1" applyBorder="1" applyAlignment="1" applyProtection="1">
      <alignment horizontal="left" vertical="center" shrinkToFit="1"/>
    </xf>
    <xf numFmtId="3" fontId="5" fillId="2" borderId="1" xfId="0" applyNumberFormat="1" applyFont="1" applyFill="1" applyBorder="1" applyAlignment="1" applyProtection="1">
      <alignment horizontal="center" vertical="center" shrinkToFit="1"/>
    </xf>
    <xf numFmtId="4" fontId="16" fillId="2" borderId="0" xfId="0" applyNumberFormat="1" applyFont="1" applyFill="1" applyBorder="1" applyAlignment="1" applyProtection="1">
      <alignment vertical="center" shrinkToFit="1"/>
    </xf>
    <xf numFmtId="0" fontId="16" fillId="2" borderId="0" xfId="0" applyNumberFormat="1" applyFont="1" applyFill="1" applyBorder="1" applyAlignment="1" applyProtection="1">
      <alignment vertical="center" shrinkToFit="1"/>
    </xf>
    <xf numFmtId="0" fontId="5" fillId="0" borderId="4" xfId="0" applyNumberFormat="1" applyFont="1" applyFill="1" applyBorder="1" applyAlignment="1" applyProtection="1">
      <alignment horizontal="left" vertical="center" shrinkToFit="1"/>
    </xf>
    <xf numFmtId="0" fontId="14" fillId="0" borderId="5" xfId="0" applyNumberFormat="1" applyFont="1" applyFill="1" applyBorder="1" applyAlignment="1" applyProtection="1">
      <alignment vertical="center" shrinkToFit="1"/>
    </xf>
    <xf numFmtId="0" fontId="14" fillId="0" borderId="6" xfId="0" applyNumberFormat="1" applyFont="1" applyFill="1" applyBorder="1" applyAlignment="1" applyProtection="1">
      <alignment vertical="center" shrinkToFit="1"/>
    </xf>
    <xf numFmtId="4" fontId="5" fillId="0" borderId="1" xfId="0" applyNumberFormat="1" applyFont="1" applyFill="1" applyBorder="1" applyAlignment="1" applyProtection="1">
      <alignment horizontal="center" vertical="center" shrinkToFit="1"/>
    </xf>
    <xf numFmtId="4" fontId="16" fillId="0" borderId="0" xfId="0" applyNumberFormat="1" applyFont="1" applyFill="1" applyBorder="1" applyAlignment="1" applyProtection="1">
      <alignment vertical="center" shrinkToFit="1"/>
    </xf>
    <xf numFmtId="0" fontId="16" fillId="0" borderId="0" xfId="0" applyNumberFormat="1" applyFont="1" applyFill="1" applyBorder="1" applyAlignment="1" applyProtection="1">
      <alignment vertical="center" shrinkToFit="1"/>
    </xf>
    <xf numFmtId="0" fontId="19" fillId="2" borderId="1" xfId="0" applyNumberFormat="1" applyFont="1" applyFill="1" applyBorder="1" applyAlignment="1" applyProtection="1">
      <alignment horizontal="left" vertical="center" shrinkToFit="1"/>
    </xf>
    <xf numFmtId="0" fontId="14" fillId="2" borderId="0" xfId="0" applyNumberFormat="1" applyFont="1" applyFill="1" applyBorder="1" applyAlignment="1" applyProtection="1">
      <alignment vertical="center" shrinkToFit="1"/>
    </xf>
    <xf numFmtId="164" fontId="5" fillId="0" borderId="1" xfId="0" applyNumberFormat="1" applyFont="1" applyFill="1" applyBorder="1" applyAlignment="1" applyProtection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164" fontId="5" fillId="0" borderId="0" xfId="0" applyNumberFormat="1" applyFont="1" applyFill="1" applyBorder="1" applyAlignment="1" applyProtection="1">
      <alignment horizontal="center" vertical="center" shrinkToFit="1"/>
    </xf>
    <xf numFmtId="4" fontId="5" fillId="2" borderId="0" xfId="0" applyNumberFormat="1" applyFont="1" applyFill="1" applyBorder="1" applyAlignment="1" applyProtection="1">
      <alignment horizontal="center" vertical="center" shrinkToFit="1"/>
    </xf>
    <xf numFmtId="4" fontId="5" fillId="0" borderId="0" xfId="0" applyNumberFormat="1" applyFont="1" applyFill="1" applyBorder="1" applyAlignment="1" applyProtection="1">
      <alignment horizontal="center" vertical="center" shrinkToFit="1"/>
    </xf>
    <xf numFmtId="0" fontId="5" fillId="0" borderId="1" xfId="0" applyNumberFormat="1" applyFont="1" applyFill="1" applyBorder="1" applyAlignment="1" applyProtection="1">
      <alignment horizontal="left" vertical="center" shrinkToFit="1"/>
    </xf>
    <xf numFmtId="0" fontId="14" fillId="0" borderId="1" xfId="0" applyNumberFormat="1" applyFont="1" applyFill="1" applyBorder="1" applyAlignment="1" applyProtection="1">
      <alignment vertical="center" shrinkToFit="1"/>
    </xf>
    <xf numFmtId="4" fontId="3" fillId="2" borderId="1" xfId="0" applyNumberFormat="1" applyFont="1" applyFill="1" applyBorder="1" applyAlignment="1" applyProtection="1">
      <alignment horizontal="center" vertical="center" shrinkToFit="1"/>
    </xf>
    <xf numFmtId="164" fontId="5" fillId="2" borderId="1" xfId="0" applyNumberFormat="1" applyFont="1" applyFill="1" applyBorder="1" applyAlignment="1" applyProtection="1">
      <alignment horizontal="center" vertical="center" shrinkToFit="1"/>
    </xf>
    <xf numFmtId="0" fontId="20" fillId="0" borderId="0" xfId="0" applyNumberFormat="1" applyFont="1" applyFill="1" applyBorder="1" applyAlignment="1" applyProtection="1">
      <alignment vertical="center" shrinkToFit="1"/>
    </xf>
    <xf numFmtId="0" fontId="14" fillId="0" borderId="0" xfId="0" applyNumberFormat="1" applyFont="1" applyFill="1" applyBorder="1" applyAlignment="1" applyProtection="1">
      <alignment vertical="center" wrapText="1" shrinkToFit="1"/>
    </xf>
    <xf numFmtId="0" fontId="5" fillId="0" borderId="5" xfId="0" applyNumberFormat="1" applyFont="1" applyFill="1" applyBorder="1" applyAlignment="1" applyProtection="1">
      <alignment horizontal="left" vertical="center" shrinkToFit="1"/>
    </xf>
    <xf numFmtId="0" fontId="5" fillId="0" borderId="6" xfId="0" applyNumberFormat="1" applyFont="1" applyFill="1" applyBorder="1" applyAlignment="1" applyProtection="1">
      <alignment horizontal="left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3" fillId="2" borderId="1" xfId="0" applyNumberFormat="1" applyFont="1" applyFill="1" applyBorder="1" applyAlignment="1" applyProtection="1">
      <alignment vertical="center" shrinkToFit="1"/>
    </xf>
    <xf numFmtId="4" fontId="5" fillId="0" borderId="1" xfId="0" applyNumberFormat="1" applyFont="1" applyBorder="1" applyAlignment="1">
      <alignment horizontal="center" vertical="center" shrinkToFit="1"/>
    </xf>
    <xf numFmtId="4" fontId="5" fillId="2" borderId="1" xfId="0" applyNumberFormat="1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4" fontId="3" fillId="0" borderId="5" xfId="0" applyNumberFormat="1" applyFont="1" applyFill="1" applyBorder="1" applyAlignment="1" applyProtection="1">
      <alignment horizontal="center" vertical="center" shrinkToFit="1"/>
    </xf>
    <xf numFmtId="4" fontId="3" fillId="0" borderId="6" xfId="0" applyNumberFormat="1" applyFont="1" applyFill="1" applyBorder="1" applyAlignment="1" applyProtection="1">
      <alignment horizontal="center" vertical="center" shrinkToFit="1"/>
    </xf>
    <xf numFmtId="0" fontId="3" fillId="2" borderId="1" xfId="0" applyNumberFormat="1" applyFont="1" applyFill="1" applyBorder="1" applyAlignment="1" applyProtection="1">
      <alignment horizontal="left" vertical="center" shrinkToFit="1"/>
    </xf>
    <xf numFmtId="0" fontId="5" fillId="0" borderId="1" xfId="0" applyFont="1" applyFill="1" applyBorder="1" applyAlignment="1">
      <alignment vertical="center" shrinkToFit="1"/>
    </xf>
    <xf numFmtId="43" fontId="14" fillId="0" borderId="0" xfId="2" applyFont="1" applyFill="1" applyBorder="1" applyAlignment="1" applyProtection="1">
      <alignment vertical="center" shrinkToFit="1"/>
    </xf>
    <xf numFmtId="43" fontId="14" fillId="2" borderId="0" xfId="2" applyFont="1" applyFill="1" applyBorder="1" applyAlignment="1" applyProtection="1">
      <alignment vertical="center" shrinkToFit="1"/>
    </xf>
    <xf numFmtId="43" fontId="14" fillId="0" borderId="0" xfId="0" applyNumberFormat="1" applyFont="1" applyFill="1" applyBorder="1" applyAlignment="1" applyProtection="1">
      <alignment vertical="center" shrinkToFit="1"/>
    </xf>
    <xf numFmtId="0" fontId="3" fillId="0" borderId="9" xfId="0" applyNumberFormat="1" applyFont="1" applyFill="1" applyBorder="1" applyAlignment="1" applyProtection="1">
      <alignment vertical="center" wrapText="1" shrinkToFit="1"/>
    </xf>
    <xf numFmtId="0" fontId="14" fillId="2" borderId="1" xfId="0" applyNumberFormat="1" applyFont="1" applyFill="1" applyBorder="1" applyAlignment="1" applyProtection="1">
      <alignment horizontal="center" vertical="center" shrinkToFit="1"/>
    </xf>
    <xf numFmtId="164" fontId="3" fillId="2" borderId="1" xfId="0" applyNumberFormat="1" applyFont="1" applyFill="1" applyBorder="1" applyAlignment="1" applyProtection="1">
      <alignment horizontal="center" vertical="center" shrinkToFit="1"/>
    </xf>
    <xf numFmtId="0" fontId="5" fillId="3" borderId="1" xfId="0" applyNumberFormat="1" applyFont="1" applyFill="1" applyBorder="1" applyAlignment="1" applyProtection="1">
      <alignment horizontal="left" vertical="center" shrinkToFit="1"/>
    </xf>
    <xf numFmtId="0" fontId="5" fillId="3" borderId="1" xfId="0" applyNumberFormat="1" applyFont="1" applyFill="1" applyBorder="1" applyAlignment="1" applyProtection="1">
      <alignment horizontal="center" vertical="center" shrinkToFit="1"/>
    </xf>
    <xf numFmtId="4" fontId="5" fillId="3" borderId="1" xfId="0" applyNumberFormat="1" applyFont="1" applyFill="1" applyBorder="1" applyAlignment="1" applyProtection="1">
      <alignment horizontal="center" vertical="center" shrinkToFit="1"/>
    </xf>
    <xf numFmtId="4" fontId="16" fillId="3" borderId="0" xfId="0" applyNumberFormat="1" applyFont="1" applyFill="1" applyBorder="1" applyAlignment="1" applyProtection="1">
      <alignment vertical="center" shrinkToFit="1"/>
    </xf>
    <xf numFmtId="0" fontId="16" fillId="3" borderId="0" xfId="0" applyNumberFormat="1" applyFont="1" applyFill="1" applyBorder="1" applyAlignment="1" applyProtection="1">
      <alignment vertical="center" shrinkToFit="1"/>
    </xf>
    <xf numFmtId="4" fontId="5" fillId="4" borderId="1" xfId="0" applyNumberFormat="1" applyFont="1" applyFill="1" applyBorder="1" applyAlignment="1" applyProtection="1">
      <alignment horizontal="center" vertical="center" shrinkToFit="1"/>
    </xf>
    <xf numFmtId="0" fontId="5" fillId="4" borderId="1" xfId="0" applyNumberFormat="1" applyFont="1" applyFill="1" applyBorder="1" applyAlignment="1" applyProtection="1">
      <alignment horizontal="left" vertical="center" shrinkToFit="1"/>
    </xf>
    <xf numFmtId="0" fontId="5" fillId="4" borderId="1" xfId="0" applyNumberFormat="1" applyFont="1" applyFill="1" applyBorder="1" applyAlignment="1" applyProtection="1">
      <alignment horizontal="center" vertical="center" shrinkToFit="1"/>
    </xf>
    <xf numFmtId="4" fontId="16" fillId="4" borderId="0" xfId="0" applyNumberFormat="1" applyFont="1" applyFill="1" applyBorder="1" applyAlignment="1" applyProtection="1">
      <alignment vertical="center" shrinkToFit="1"/>
    </xf>
    <xf numFmtId="0" fontId="16" fillId="4" borderId="0" xfId="0" applyNumberFormat="1" applyFont="1" applyFill="1" applyBorder="1" applyAlignment="1" applyProtection="1">
      <alignment vertical="center" shrinkToFit="1"/>
    </xf>
    <xf numFmtId="164" fontId="10" fillId="0" borderId="1" xfId="0" applyNumberFormat="1" applyFont="1" applyFill="1" applyBorder="1" applyAlignment="1" applyProtection="1">
      <alignment horizontal="center" vertical="center" shrinkToFi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right"/>
    </xf>
    <xf numFmtId="49" fontId="2" fillId="0" borderId="2" xfId="1" applyNumberFormat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 vertical="center" wrapText="1" shrinkToFit="1"/>
    </xf>
    <xf numFmtId="0" fontId="2" fillId="0" borderId="0" xfId="1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2" fillId="0" borderId="4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49" fontId="4" fillId="0" borderId="4" xfId="1" applyNumberFormat="1" applyFont="1" applyFill="1" applyBorder="1" applyAlignment="1">
      <alignment horizontal="center"/>
    </xf>
    <xf numFmtId="49" fontId="4" fillId="0" borderId="5" xfId="1" applyNumberFormat="1" applyFont="1" applyFill="1" applyBorder="1" applyAlignment="1">
      <alignment horizontal="center"/>
    </xf>
    <xf numFmtId="49" fontId="4" fillId="0" borderId="6" xfId="1" applyNumberFormat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 vertical="top" wrapText="1"/>
    </xf>
    <xf numFmtId="0" fontId="2" fillId="0" borderId="5" xfId="1" applyFont="1" applyFill="1" applyBorder="1" applyAlignment="1">
      <alignment horizontal="center" vertical="top" wrapText="1"/>
    </xf>
    <xf numFmtId="0" fontId="2" fillId="0" borderId="6" xfId="1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top" wrapText="1"/>
    </xf>
    <xf numFmtId="0" fontId="2" fillId="0" borderId="8" xfId="1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center" vertical="top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11" fillId="0" borderId="19" xfId="0" applyFont="1" applyBorder="1" applyAlignment="1"/>
    <xf numFmtId="0" fontId="11" fillId="0" borderId="0" xfId="0" applyFont="1" applyBorder="1" applyAlignment="1"/>
    <xf numFmtId="0" fontId="11" fillId="0" borderId="15" xfId="0" applyFont="1" applyBorder="1" applyAlignment="1"/>
    <xf numFmtId="0" fontId="0" fillId="0" borderId="0" xfId="0" applyBorder="1" applyAlignment="1"/>
    <xf numFmtId="0" fontId="12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20" xfId="0" applyFont="1" applyBorder="1" applyAlignment="1"/>
    <xf numFmtId="0" fontId="21" fillId="0" borderId="16" xfId="0" applyFont="1" applyBorder="1" applyAlignment="1"/>
    <xf numFmtId="0" fontId="21" fillId="0" borderId="22" xfId="0" applyFont="1" applyBorder="1" applyAlignment="1"/>
    <xf numFmtId="0" fontId="0" fillId="0" borderId="15" xfId="0" applyBorder="1" applyAlignment="1"/>
    <xf numFmtId="0" fontId="12" fillId="0" borderId="1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20" xfId="0" applyFont="1" applyBorder="1" applyAlignment="1"/>
    <xf numFmtId="0" fontId="0" fillId="0" borderId="16" xfId="0" applyBorder="1" applyAlignment="1"/>
    <xf numFmtId="0" fontId="0" fillId="0" borderId="22" xfId="0" applyBorder="1" applyAlignment="1"/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0" xfId="1" applyFont="1" applyFill="1" applyAlignment="1">
      <alignment horizontal="right"/>
    </xf>
    <xf numFmtId="0" fontId="6" fillId="0" borderId="0" xfId="1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Alignment="1">
      <alignment horizontal="center" vertical="center" wrapText="1" shrinkToFi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0" fontId="3" fillId="0" borderId="11" xfId="0" applyNumberFormat="1" applyFont="1" applyFill="1" applyBorder="1" applyAlignment="1" applyProtection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6" fillId="0" borderId="19" xfId="0" applyFont="1" applyBorder="1" applyAlignment="1"/>
    <xf numFmtId="0" fontId="21" fillId="0" borderId="0" xfId="0" applyFont="1" applyBorder="1" applyAlignment="1"/>
    <xf numFmtId="0" fontId="21" fillId="0" borderId="15" xfId="0" applyFont="1" applyBorder="1" applyAlignment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323850</xdr:colOff>
      <xdr:row>11</xdr:row>
      <xdr:rowOff>19050</xdr:rowOff>
    </xdr:from>
    <xdr:to>
      <xdr:col>10</xdr:col>
      <xdr:colOff>323850</xdr:colOff>
      <xdr:row>11</xdr:row>
      <xdr:rowOff>190500</xdr:rowOff>
    </xdr:to>
    <xdr:cxnSp macro="">
      <xdr:nvCxnSpPr>
        <xdr:cNvPr id="3" name="Прямая со стрелкой 2"/>
        <xdr:cNvCxnSpPr/>
      </xdr:nvCxnSpPr>
      <xdr:spPr>
        <a:xfrm>
          <a:off x="6419850" y="2028825"/>
          <a:ext cx="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323850</xdr:colOff>
      <xdr:row>13</xdr:row>
      <xdr:rowOff>19050</xdr:rowOff>
    </xdr:from>
    <xdr:to>
      <xdr:col>5</xdr:col>
      <xdr:colOff>323850</xdr:colOff>
      <xdr:row>13</xdr:row>
      <xdr:rowOff>190500</xdr:rowOff>
    </xdr:to>
    <xdr:cxnSp macro="">
      <xdr:nvCxnSpPr>
        <xdr:cNvPr id="5" name="Прямая со стрелкой 4"/>
        <xdr:cNvCxnSpPr/>
      </xdr:nvCxnSpPr>
      <xdr:spPr>
        <a:xfrm>
          <a:off x="6419850" y="2028825"/>
          <a:ext cx="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323850</xdr:colOff>
      <xdr:row>13</xdr:row>
      <xdr:rowOff>19050</xdr:rowOff>
    </xdr:from>
    <xdr:to>
      <xdr:col>15</xdr:col>
      <xdr:colOff>323850</xdr:colOff>
      <xdr:row>13</xdr:row>
      <xdr:rowOff>190500</xdr:rowOff>
    </xdr:to>
    <xdr:cxnSp macro="">
      <xdr:nvCxnSpPr>
        <xdr:cNvPr id="6" name="Прямая со стрелкой 5"/>
        <xdr:cNvCxnSpPr/>
      </xdr:nvCxnSpPr>
      <xdr:spPr>
        <a:xfrm>
          <a:off x="3371850" y="2447925"/>
          <a:ext cx="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10</xdr:row>
      <xdr:rowOff>0</xdr:rowOff>
    </xdr:from>
    <xdr:to>
      <xdr:col>8</xdr:col>
      <xdr:colOff>600075</xdr:colOff>
      <xdr:row>10</xdr:row>
      <xdr:rowOff>200025</xdr:rowOff>
    </xdr:to>
    <xdr:cxnSp macro="">
      <xdr:nvCxnSpPr>
        <xdr:cNvPr id="9" name="Прямая со стрелкой 8"/>
        <xdr:cNvCxnSpPr/>
      </xdr:nvCxnSpPr>
      <xdr:spPr>
        <a:xfrm flipH="1">
          <a:off x="4886325" y="1800225"/>
          <a:ext cx="590550" cy="2000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600075</xdr:colOff>
      <xdr:row>9</xdr:row>
      <xdr:rowOff>190500</xdr:rowOff>
    </xdr:from>
    <xdr:to>
      <xdr:col>13</xdr:col>
      <xdr:colOff>0</xdr:colOff>
      <xdr:row>11</xdr:row>
      <xdr:rowOff>9525</xdr:rowOff>
    </xdr:to>
    <xdr:cxnSp macro="">
      <xdr:nvCxnSpPr>
        <xdr:cNvPr id="11" name="Прямая со стрелкой 10"/>
        <xdr:cNvCxnSpPr/>
      </xdr:nvCxnSpPr>
      <xdr:spPr>
        <a:xfrm>
          <a:off x="7305675" y="1790700"/>
          <a:ext cx="619125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209550</xdr:colOff>
      <xdr:row>16</xdr:row>
      <xdr:rowOff>0</xdr:rowOff>
    </xdr:from>
    <xdr:to>
      <xdr:col>13</xdr:col>
      <xdr:colOff>571500</xdr:colOff>
      <xdr:row>26</xdr:row>
      <xdr:rowOff>0</xdr:rowOff>
    </xdr:to>
    <xdr:sp macro="" textlink="">
      <xdr:nvSpPr>
        <xdr:cNvPr id="15" name="Левая фигурная скобка 14"/>
        <xdr:cNvSpPr/>
      </xdr:nvSpPr>
      <xdr:spPr>
        <a:xfrm>
          <a:off x="8134350" y="3248025"/>
          <a:ext cx="361950" cy="2047875"/>
        </a:xfrm>
        <a:prstGeom prst="leftBrace">
          <a:avLst>
            <a:gd name="adj1" fmla="val 45175"/>
            <a:gd name="adj2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8</xdr:col>
      <xdr:colOff>304800</xdr:colOff>
      <xdr:row>10</xdr:row>
      <xdr:rowOff>9525</xdr:rowOff>
    </xdr:from>
    <xdr:to>
      <xdr:col>8</xdr:col>
      <xdr:colOff>600075</xdr:colOff>
      <xdr:row>16</xdr:row>
      <xdr:rowOff>9525</xdr:rowOff>
    </xdr:to>
    <xdr:sp macro="" textlink="">
      <xdr:nvSpPr>
        <xdr:cNvPr id="2" name="Левая фигурная скобка 1"/>
        <xdr:cNvSpPr/>
      </xdr:nvSpPr>
      <xdr:spPr>
        <a:xfrm>
          <a:off x="5181600" y="2009775"/>
          <a:ext cx="295275" cy="1247775"/>
        </a:xfrm>
        <a:prstGeom prst="leftBrace">
          <a:avLst>
            <a:gd name="adj1" fmla="val 50268"/>
            <a:gd name="adj2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A40"/>
  <sheetViews>
    <sheetView tabSelected="1" view="pageBreakPreview" zoomScaleNormal="100" zoomScaleSheetLayoutView="100" workbookViewId="0">
      <selection activeCell="BQ2" sqref="BQ2:CL2"/>
    </sheetView>
  </sheetViews>
  <sheetFormatPr defaultColWidth="0.85546875" defaultRowHeight="12.75" x14ac:dyDescent="0.2"/>
  <cols>
    <col min="1" max="59" width="0.85546875" style="3"/>
    <col min="60" max="60" width="13.5703125" style="3" customWidth="1"/>
    <col min="61" max="89" width="0.85546875" style="3"/>
    <col min="90" max="90" width="37.85546875" style="3" customWidth="1"/>
    <col min="91" max="105" width="0.85546875" style="4"/>
    <col min="106" max="345" width="0.85546875" style="3"/>
    <col min="346" max="346" width="36.28515625" style="3" customWidth="1"/>
    <col min="347" max="601" width="0.85546875" style="3"/>
    <col min="602" max="602" width="36.28515625" style="3" customWidth="1"/>
    <col min="603" max="857" width="0.85546875" style="3"/>
    <col min="858" max="858" width="36.28515625" style="3" customWidth="1"/>
    <col min="859" max="1113" width="0.85546875" style="3"/>
    <col min="1114" max="1114" width="36.28515625" style="3" customWidth="1"/>
    <col min="1115" max="1369" width="0.85546875" style="3"/>
    <col min="1370" max="1370" width="36.28515625" style="3" customWidth="1"/>
    <col min="1371" max="1625" width="0.85546875" style="3"/>
    <col min="1626" max="1626" width="36.28515625" style="3" customWidth="1"/>
    <col min="1627" max="1881" width="0.85546875" style="3"/>
    <col min="1882" max="1882" width="36.28515625" style="3" customWidth="1"/>
    <col min="1883" max="2137" width="0.85546875" style="3"/>
    <col min="2138" max="2138" width="36.28515625" style="3" customWidth="1"/>
    <col min="2139" max="2393" width="0.85546875" style="3"/>
    <col min="2394" max="2394" width="36.28515625" style="3" customWidth="1"/>
    <col min="2395" max="2649" width="0.85546875" style="3"/>
    <col min="2650" max="2650" width="36.28515625" style="3" customWidth="1"/>
    <col min="2651" max="2905" width="0.85546875" style="3"/>
    <col min="2906" max="2906" width="36.28515625" style="3" customWidth="1"/>
    <col min="2907" max="3161" width="0.85546875" style="3"/>
    <col min="3162" max="3162" width="36.28515625" style="3" customWidth="1"/>
    <col min="3163" max="3417" width="0.85546875" style="3"/>
    <col min="3418" max="3418" width="36.28515625" style="3" customWidth="1"/>
    <col min="3419" max="3673" width="0.85546875" style="3"/>
    <col min="3674" max="3674" width="36.28515625" style="3" customWidth="1"/>
    <col min="3675" max="3929" width="0.85546875" style="3"/>
    <col min="3930" max="3930" width="36.28515625" style="3" customWidth="1"/>
    <col min="3931" max="4185" width="0.85546875" style="3"/>
    <col min="4186" max="4186" width="36.28515625" style="3" customWidth="1"/>
    <col min="4187" max="4441" width="0.85546875" style="3"/>
    <col min="4442" max="4442" width="36.28515625" style="3" customWidth="1"/>
    <col min="4443" max="4697" width="0.85546875" style="3"/>
    <col min="4698" max="4698" width="36.28515625" style="3" customWidth="1"/>
    <col min="4699" max="4953" width="0.85546875" style="3"/>
    <col min="4954" max="4954" width="36.28515625" style="3" customWidth="1"/>
    <col min="4955" max="5209" width="0.85546875" style="3"/>
    <col min="5210" max="5210" width="36.28515625" style="3" customWidth="1"/>
    <col min="5211" max="5465" width="0.85546875" style="3"/>
    <col min="5466" max="5466" width="36.28515625" style="3" customWidth="1"/>
    <col min="5467" max="5721" width="0.85546875" style="3"/>
    <col min="5722" max="5722" width="36.28515625" style="3" customWidth="1"/>
    <col min="5723" max="5977" width="0.85546875" style="3"/>
    <col min="5978" max="5978" width="36.28515625" style="3" customWidth="1"/>
    <col min="5979" max="6233" width="0.85546875" style="3"/>
    <col min="6234" max="6234" width="36.28515625" style="3" customWidth="1"/>
    <col min="6235" max="6489" width="0.85546875" style="3"/>
    <col min="6490" max="6490" width="36.28515625" style="3" customWidth="1"/>
    <col min="6491" max="6745" width="0.85546875" style="3"/>
    <col min="6746" max="6746" width="36.28515625" style="3" customWidth="1"/>
    <col min="6747" max="7001" width="0.85546875" style="3"/>
    <col min="7002" max="7002" width="36.28515625" style="3" customWidth="1"/>
    <col min="7003" max="7257" width="0.85546875" style="3"/>
    <col min="7258" max="7258" width="36.28515625" style="3" customWidth="1"/>
    <col min="7259" max="7513" width="0.85546875" style="3"/>
    <col min="7514" max="7514" width="36.28515625" style="3" customWidth="1"/>
    <col min="7515" max="7769" width="0.85546875" style="3"/>
    <col min="7770" max="7770" width="36.28515625" style="3" customWidth="1"/>
    <col min="7771" max="8025" width="0.85546875" style="3"/>
    <col min="8026" max="8026" width="36.28515625" style="3" customWidth="1"/>
    <col min="8027" max="8281" width="0.85546875" style="3"/>
    <col min="8282" max="8282" width="36.28515625" style="3" customWidth="1"/>
    <col min="8283" max="8537" width="0.85546875" style="3"/>
    <col min="8538" max="8538" width="36.28515625" style="3" customWidth="1"/>
    <col min="8539" max="8793" width="0.85546875" style="3"/>
    <col min="8794" max="8794" width="36.28515625" style="3" customWidth="1"/>
    <col min="8795" max="9049" width="0.85546875" style="3"/>
    <col min="9050" max="9050" width="36.28515625" style="3" customWidth="1"/>
    <col min="9051" max="9305" width="0.85546875" style="3"/>
    <col min="9306" max="9306" width="36.28515625" style="3" customWidth="1"/>
    <col min="9307" max="9561" width="0.85546875" style="3"/>
    <col min="9562" max="9562" width="36.28515625" style="3" customWidth="1"/>
    <col min="9563" max="9817" width="0.85546875" style="3"/>
    <col min="9818" max="9818" width="36.28515625" style="3" customWidth="1"/>
    <col min="9819" max="10073" width="0.85546875" style="3"/>
    <col min="10074" max="10074" width="36.28515625" style="3" customWidth="1"/>
    <col min="10075" max="10329" width="0.85546875" style="3"/>
    <col min="10330" max="10330" width="36.28515625" style="3" customWidth="1"/>
    <col min="10331" max="10585" width="0.85546875" style="3"/>
    <col min="10586" max="10586" width="36.28515625" style="3" customWidth="1"/>
    <col min="10587" max="10841" width="0.85546875" style="3"/>
    <col min="10842" max="10842" width="36.28515625" style="3" customWidth="1"/>
    <col min="10843" max="11097" width="0.85546875" style="3"/>
    <col min="11098" max="11098" width="36.28515625" style="3" customWidth="1"/>
    <col min="11099" max="11353" width="0.85546875" style="3"/>
    <col min="11354" max="11354" width="36.28515625" style="3" customWidth="1"/>
    <col min="11355" max="11609" width="0.85546875" style="3"/>
    <col min="11610" max="11610" width="36.28515625" style="3" customWidth="1"/>
    <col min="11611" max="11865" width="0.85546875" style="3"/>
    <col min="11866" max="11866" width="36.28515625" style="3" customWidth="1"/>
    <col min="11867" max="12121" width="0.85546875" style="3"/>
    <col min="12122" max="12122" width="36.28515625" style="3" customWidth="1"/>
    <col min="12123" max="12377" width="0.85546875" style="3"/>
    <col min="12378" max="12378" width="36.28515625" style="3" customWidth="1"/>
    <col min="12379" max="12633" width="0.85546875" style="3"/>
    <col min="12634" max="12634" width="36.28515625" style="3" customWidth="1"/>
    <col min="12635" max="12889" width="0.85546875" style="3"/>
    <col min="12890" max="12890" width="36.28515625" style="3" customWidth="1"/>
    <col min="12891" max="13145" width="0.85546875" style="3"/>
    <col min="13146" max="13146" width="36.28515625" style="3" customWidth="1"/>
    <col min="13147" max="13401" width="0.85546875" style="3"/>
    <col min="13402" max="13402" width="36.28515625" style="3" customWidth="1"/>
    <col min="13403" max="13657" width="0.85546875" style="3"/>
    <col min="13658" max="13658" width="36.28515625" style="3" customWidth="1"/>
    <col min="13659" max="13913" width="0.85546875" style="3"/>
    <col min="13914" max="13914" width="36.28515625" style="3" customWidth="1"/>
    <col min="13915" max="14169" width="0.85546875" style="3"/>
    <col min="14170" max="14170" width="36.28515625" style="3" customWidth="1"/>
    <col min="14171" max="14425" width="0.85546875" style="3"/>
    <col min="14426" max="14426" width="36.28515625" style="3" customWidth="1"/>
    <col min="14427" max="14681" width="0.85546875" style="3"/>
    <col min="14682" max="14682" width="36.28515625" style="3" customWidth="1"/>
    <col min="14683" max="14937" width="0.85546875" style="3"/>
    <col min="14938" max="14938" width="36.28515625" style="3" customWidth="1"/>
    <col min="14939" max="15193" width="0.85546875" style="3"/>
    <col min="15194" max="15194" width="36.28515625" style="3" customWidth="1"/>
    <col min="15195" max="15449" width="0.85546875" style="3"/>
    <col min="15450" max="15450" width="36.28515625" style="3" customWidth="1"/>
    <col min="15451" max="15705" width="0.85546875" style="3"/>
    <col min="15706" max="15706" width="36.28515625" style="3" customWidth="1"/>
    <col min="15707" max="15961" width="0.85546875" style="3"/>
    <col min="15962" max="15962" width="36.28515625" style="3" customWidth="1"/>
    <col min="15963" max="16217" width="0.85546875" style="3"/>
    <col min="16218" max="16218" width="36.28515625" style="3" customWidth="1"/>
    <col min="16219" max="16384" width="0.85546875" style="3"/>
  </cols>
  <sheetData>
    <row r="1" spans="1:105" ht="12.75" customHeight="1" x14ac:dyDescent="0.2">
      <c r="BR1" s="141" t="s">
        <v>121</v>
      </c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</row>
    <row r="2" spans="1:105" ht="15.75" customHeight="1" x14ac:dyDescent="0.2">
      <c r="BQ2" s="149" t="s">
        <v>123</v>
      </c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</row>
    <row r="3" spans="1:105" x14ac:dyDescent="0.2">
      <c r="CL3" s="6" t="s">
        <v>0</v>
      </c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</row>
    <row r="4" spans="1:105" x14ac:dyDescent="0.2">
      <c r="CL4" s="6">
        <v>301017</v>
      </c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</row>
    <row r="5" spans="1:105" ht="35.25" customHeight="1" x14ac:dyDescent="0.2">
      <c r="A5" s="148" t="s">
        <v>30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</row>
    <row r="6" spans="1:105" x14ac:dyDescent="0.2">
      <c r="A6" s="134" t="s">
        <v>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</row>
    <row r="7" spans="1:105" ht="3" customHeight="1" x14ac:dyDescent="0.2"/>
    <row r="8" spans="1:105" ht="13.5" customHeight="1" x14ac:dyDescent="0.2">
      <c r="BQ8" s="151" t="s">
        <v>2</v>
      </c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3"/>
      <c r="CI8" s="151" t="s">
        <v>3</v>
      </c>
      <c r="CJ8" s="152"/>
      <c r="CK8" s="152"/>
      <c r="CL8" s="152"/>
    </row>
    <row r="9" spans="1:105" ht="15" customHeight="1" x14ac:dyDescent="0.2">
      <c r="BO9" s="7" t="s">
        <v>4</v>
      </c>
      <c r="BQ9" s="154" t="s">
        <v>31</v>
      </c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6"/>
      <c r="CI9" s="154" t="s">
        <v>122</v>
      </c>
      <c r="CJ9" s="155"/>
      <c r="CK9" s="155"/>
      <c r="CL9" s="155"/>
    </row>
    <row r="10" spans="1:105" x14ac:dyDescent="0.2">
      <c r="CM10" s="8"/>
      <c r="CN10" s="146"/>
      <c r="CO10" s="146"/>
      <c r="CP10" s="146"/>
      <c r="CW10" s="147"/>
      <c r="CX10" s="147"/>
      <c r="CY10" s="147"/>
      <c r="CZ10" s="147"/>
      <c r="DA10" s="147"/>
    </row>
    <row r="11" spans="1:105" x14ac:dyDescent="0.2">
      <c r="AH11" s="9" t="s">
        <v>6</v>
      </c>
      <c r="AJ11" s="135" t="s">
        <v>32</v>
      </c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W11" s="3" t="s">
        <v>7</v>
      </c>
      <c r="AZ11" s="140" t="s">
        <v>115</v>
      </c>
      <c r="BA11" s="140"/>
      <c r="BB11" s="140"/>
      <c r="BC11" s="3" t="s">
        <v>8</v>
      </c>
      <c r="BE11" s="135" t="s">
        <v>116</v>
      </c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41">
        <v>20</v>
      </c>
      <c r="BR11" s="141"/>
      <c r="BS11" s="141"/>
      <c r="BT11" s="141"/>
      <c r="BU11" s="142" t="s">
        <v>33</v>
      </c>
      <c r="BV11" s="142"/>
      <c r="BW11" s="142"/>
      <c r="BY11" s="3" t="s">
        <v>9</v>
      </c>
      <c r="CM11" s="143"/>
      <c r="CN11" s="143"/>
      <c r="CO11" s="143"/>
      <c r="CP11" s="143"/>
      <c r="CQ11" s="143"/>
      <c r="CR11" s="143"/>
      <c r="CS11" s="143"/>
      <c r="DA11" s="8"/>
    </row>
    <row r="12" spans="1:105" ht="4.5" customHeight="1" x14ac:dyDescent="0.2"/>
    <row r="13" spans="1:105" ht="20.100000000000001" customHeight="1" x14ac:dyDescent="0.2">
      <c r="A13" s="157" t="s">
        <v>10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9"/>
      <c r="AE13" s="160" t="s">
        <v>11</v>
      </c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2"/>
      <c r="BI13" s="160" t="s">
        <v>12</v>
      </c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2"/>
      <c r="BX13" s="160" t="s">
        <v>13</v>
      </c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2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</row>
    <row r="14" spans="1:105" ht="20.100000000000001" customHeight="1" x14ac:dyDescent="0.2">
      <c r="A14" s="166" t="s">
        <v>14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8"/>
      <c r="AE14" s="163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5"/>
      <c r="BI14" s="163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5"/>
      <c r="BX14" s="163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5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</row>
    <row r="15" spans="1:105" ht="20.100000000000001" customHeight="1" x14ac:dyDescent="0.2">
      <c r="A15" s="169">
        <v>1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1"/>
      <c r="AE15" s="172">
        <v>2</v>
      </c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>
        <v>3</v>
      </c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>
        <v>4</v>
      </c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</row>
    <row r="16" spans="1:105" ht="20.100000000000001" customHeight="1" x14ac:dyDescent="0.2">
      <c r="A16" s="173" t="s">
        <v>26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5"/>
      <c r="AE16" s="128" t="s">
        <v>34</v>
      </c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7">
        <v>1</v>
      </c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>
        <v>25</v>
      </c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44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</row>
    <row r="17" spans="1:105" ht="20.100000000000001" customHeight="1" x14ac:dyDescent="0.2">
      <c r="A17" s="144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76"/>
      <c r="AE17" s="128" t="s">
        <v>35</v>
      </c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7">
        <v>1</v>
      </c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>
        <v>21</v>
      </c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44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</row>
    <row r="18" spans="1:105" ht="20.100000000000001" customHeight="1" x14ac:dyDescent="0.2">
      <c r="A18" s="144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76"/>
      <c r="AE18" s="128" t="s">
        <v>35</v>
      </c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7">
        <v>1</v>
      </c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>
        <v>21</v>
      </c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44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</row>
    <row r="19" spans="1:105" ht="20.100000000000001" customHeight="1" x14ac:dyDescent="0.2">
      <c r="A19" s="144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76"/>
      <c r="AE19" s="128" t="s">
        <v>15</v>
      </c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7">
        <v>1</v>
      </c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>
        <v>21</v>
      </c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44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</row>
    <row r="20" spans="1:105" ht="20.100000000000001" customHeight="1" x14ac:dyDescent="0.2">
      <c r="A20" s="127" t="s">
        <v>19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 t="s">
        <v>27</v>
      </c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>
        <v>1</v>
      </c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>
        <v>18</v>
      </c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</row>
    <row r="21" spans="1:105" ht="20.100000000000001" customHeight="1" x14ac:dyDescent="0.2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8" t="s">
        <v>18</v>
      </c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7">
        <v>1</v>
      </c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>
        <v>16</v>
      </c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</row>
    <row r="22" spans="1:105" ht="20.100000000000001" customHeight="1" x14ac:dyDescent="0.2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8" t="s">
        <v>17</v>
      </c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7">
        <v>1</v>
      </c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>
        <v>15</v>
      </c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</row>
    <row r="23" spans="1:105" ht="20.100000000000001" customHeight="1" x14ac:dyDescent="0.2">
      <c r="A23" s="127" t="s">
        <v>16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 t="s">
        <v>27</v>
      </c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>
        <v>1</v>
      </c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>
        <v>18</v>
      </c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</row>
    <row r="24" spans="1:105" ht="20.100000000000001" customHeight="1" x14ac:dyDescent="0.2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8" t="s">
        <v>17</v>
      </c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7">
        <v>1</v>
      </c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>
        <v>15</v>
      </c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</row>
    <row r="25" spans="1:105" ht="20.100000000000001" customHeight="1" x14ac:dyDescent="0.2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8" t="s">
        <v>17</v>
      </c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7">
        <v>1</v>
      </c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>
        <v>15</v>
      </c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</row>
    <row r="26" spans="1:105" ht="20.100000000000001" customHeight="1" x14ac:dyDescent="0.2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8" t="s">
        <v>24</v>
      </c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7">
        <v>1</v>
      </c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>
        <v>13</v>
      </c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</row>
    <row r="27" spans="1:105" ht="20.100000000000001" customHeight="1" x14ac:dyDescent="0.2">
      <c r="A27" s="127" t="s">
        <v>36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 t="s">
        <v>27</v>
      </c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>
        <v>1</v>
      </c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>
        <v>18</v>
      </c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</row>
    <row r="28" spans="1:105" ht="20.100000000000001" customHeight="1" x14ac:dyDescent="0.2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30" t="s">
        <v>24</v>
      </c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2"/>
      <c r="BI28" s="127">
        <v>1</v>
      </c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>
        <v>13</v>
      </c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</row>
    <row r="29" spans="1:105" ht="20.100000000000001" customHeight="1" x14ac:dyDescent="0.2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30" t="s">
        <v>118</v>
      </c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2"/>
      <c r="BI29" s="127">
        <v>1</v>
      </c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>
        <v>11</v>
      </c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</row>
    <row r="30" spans="1:105" ht="20.100000000000001" customHeight="1" x14ac:dyDescent="0.2">
      <c r="A30" s="127" t="s">
        <v>25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 t="s">
        <v>27</v>
      </c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>
        <v>1</v>
      </c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>
        <v>18</v>
      </c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</row>
    <row r="31" spans="1:105" ht="20.100000000000001" customHeight="1" x14ac:dyDescent="0.2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8" t="s">
        <v>18</v>
      </c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7">
        <v>1</v>
      </c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>
        <v>16</v>
      </c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</row>
    <row r="32" spans="1:105" ht="20.100000000000001" customHeight="1" x14ac:dyDescent="0.2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8" t="s">
        <v>17</v>
      </c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7">
        <v>1</v>
      </c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>
        <v>15</v>
      </c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</row>
    <row r="33" spans="1:90" ht="20.100000000000001" customHeight="1" x14ac:dyDescent="0.2">
      <c r="A33" s="127" t="s">
        <v>29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8" t="s">
        <v>43</v>
      </c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7">
        <v>1</v>
      </c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>
        <v>29500</v>
      </c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</row>
    <row r="34" spans="1:90" ht="20.100000000000001" customHeight="1" x14ac:dyDescent="0.2">
      <c r="A34" s="137" t="s">
        <v>20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9"/>
      <c r="BI34" s="136">
        <f>SUM(BI16:BV33)</f>
        <v>18</v>
      </c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 t="s">
        <v>39</v>
      </c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</row>
    <row r="36" spans="1:90" x14ac:dyDescent="0.2">
      <c r="A36" s="10" t="s">
        <v>40</v>
      </c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4"/>
      <c r="CB36" s="4"/>
      <c r="CC36" s="4"/>
      <c r="CD36" s="4"/>
      <c r="CE36" s="135"/>
      <c r="CF36" s="135"/>
      <c r="CG36" s="135"/>
      <c r="CH36" s="135"/>
      <c r="CI36" s="135"/>
      <c r="CJ36" s="135"/>
      <c r="CK36" s="135"/>
      <c r="CL36" s="135"/>
    </row>
    <row r="37" spans="1:90" x14ac:dyDescent="0.2">
      <c r="A37" s="10"/>
      <c r="AJ37" s="134" t="s">
        <v>21</v>
      </c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"/>
      <c r="CB37" s="1"/>
      <c r="CC37" s="1"/>
      <c r="CD37" s="1"/>
      <c r="CE37" s="134" t="s">
        <v>22</v>
      </c>
      <c r="CF37" s="134"/>
      <c r="CG37" s="134"/>
      <c r="CH37" s="134"/>
      <c r="CI37" s="134"/>
      <c r="CJ37" s="134"/>
      <c r="CK37" s="134"/>
      <c r="CL37" s="134"/>
    </row>
    <row r="38" spans="1:90" x14ac:dyDescent="0.2">
      <c r="A38" s="10"/>
    </row>
    <row r="39" spans="1:90" x14ac:dyDescent="0.2">
      <c r="A39" s="10" t="s">
        <v>15</v>
      </c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J39" s="135" t="s">
        <v>38</v>
      </c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</row>
    <row r="40" spans="1:90" x14ac:dyDescent="0.2">
      <c r="AJ40" s="134" t="s">
        <v>22</v>
      </c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J40" s="134" t="s">
        <v>23</v>
      </c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</row>
  </sheetData>
  <mergeCells count="110">
    <mergeCell ref="A20:AD22"/>
    <mergeCell ref="AE20:BH20"/>
    <mergeCell ref="AE32:BH32"/>
    <mergeCell ref="BI32:BW32"/>
    <mergeCell ref="BX32:CL32"/>
    <mergeCell ref="A15:AD15"/>
    <mergeCell ref="AE15:BH15"/>
    <mergeCell ref="BI15:BW15"/>
    <mergeCell ref="BX15:CL15"/>
    <mergeCell ref="BX18:CL18"/>
    <mergeCell ref="BI18:BW18"/>
    <mergeCell ref="AE18:BH18"/>
    <mergeCell ref="AE19:BH19"/>
    <mergeCell ref="BI19:BW19"/>
    <mergeCell ref="A16:AD19"/>
    <mergeCell ref="BI20:BW20"/>
    <mergeCell ref="BX20:CL20"/>
    <mergeCell ref="AE21:BH21"/>
    <mergeCell ref="BX19:CL19"/>
    <mergeCell ref="CM15:DA15"/>
    <mergeCell ref="AE16:BH16"/>
    <mergeCell ref="CN10:CP10"/>
    <mergeCell ref="CW10:DA10"/>
    <mergeCell ref="BR1:CL1"/>
    <mergeCell ref="CM3:DA3"/>
    <mergeCell ref="CM4:DA4"/>
    <mergeCell ref="A5:CL5"/>
    <mergeCell ref="CM5:DA5"/>
    <mergeCell ref="A6:CL6"/>
    <mergeCell ref="BQ2:CL2"/>
    <mergeCell ref="BQ8:CH8"/>
    <mergeCell ref="CI8:CL8"/>
    <mergeCell ref="BQ9:CH9"/>
    <mergeCell ref="CI9:CL9"/>
    <mergeCell ref="BI16:BW16"/>
    <mergeCell ref="BX16:CL16"/>
    <mergeCell ref="A13:AD13"/>
    <mergeCell ref="AE13:BH14"/>
    <mergeCell ref="BI13:BW14"/>
    <mergeCell ref="BX13:CL14"/>
    <mergeCell ref="CM13:DA14"/>
    <mergeCell ref="A14:AD14"/>
    <mergeCell ref="AJ11:AU11"/>
    <mergeCell ref="AZ11:BB11"/>
    <mergeCell ref="BE11:BP11"/>
    <mergeCell ref="BQ11:BT11"/>
    <mergeCell ref="BU11:BW11"/>
    <mergeCell ref="CM11:CS11"/>
    <mergeCell ref="CM16:DA16"/>
    <mergeCell ref="CM20:DA20"/>
    <mergeCell ref="AE24:BH24"/>
    <mergeCell ref="BI24:BW24"/>
    <mergeCell ref="BX24:CL24"/>
    <mergeCell ref="CM21:DA21"/>
    <mergeCell ref="BI21:BW21"/>
    <mergeCell ref="BX21:CL21"/>
    <mergeCell ref="AE22:BH22"/>
    <mergeCell ref="BI22:BW22"/>
    <mergeCell ref="BX22:CL22"/>
    <mergeCell ref="CM23:DA23"/>
    <mergeCell ref="CM24:DA24"/>
    <mergeCell ref="CM19:DA19"/>
    <mergeCell ref="CM17:DA17"/>
    <mergeCell ref="AE17:BH17"/>
    <mergeCell ref="BI17:BW17"/>
    <mergeCell ref="BX17:CL17"/>
    <mergeCell ref="CM18:DA18"/>
    <mergeCell ref="CM26:DA26"/>
    <mergeCell ref="AE27:BH27"/>
    <mergeCell ref="BI27:BW27"/>
    <mergeCell ref="BX27:CL27"/>
    <mergeCell ref="AE25:BH25"/>
    <mergeCell ref="BI25:BW25"/>
    <mergeCell ref="BX25:CL25"/>
    <mergeCell ref="AJ40:BE40"/>
    <mergeCell ref="BJ40:CL40"/>
    <mergeCell ref="AJ36:BZ36"/>
    <mergeCell ref="CE36:CL36"/>
    <mergeCell ref="AJ37:BZ37"/>
    <mergeCell ref="CE37:CL37"/>
    <mergeCell ref="AJ39:BE39"/>
    <mergeCell ref="BJ39:CL39"/>
    <mergeCell ref="BI34:BW34"/>
    <mergeCell ref="BX34:CL34"/>
    <mergeCell ref="A34:BH34"/>
    <mergeCell ref="AE28:BH28"/>
    <mergeCell ref="BI28:BW28"/>
    <mergeCell ref="BX28:CL28"/>
    <mergeCell ref="AE31:BH31"/>
    <mergeCell ref="BI31:BW31"/>
    <mergeCell ref="BX31:CL31"/>
    <mergeCell ref="A33:AD33"/>
    <mergeCell ref="AE33:BH33"/>
    <mergeCell ref="BI33:BW33"/>
    <mergeCell ref="BX33:CL33"/>
    <mergeCell ref="A23:AD26"/>
    <mergeCell ref="AE23:BH23"/>
    <mergeCell ref="BI23:BW23"/>
    <mergeCell ref="BX23:CL23"/>
    <mergeCell ref="AE29:BH29"/>
    <mergeCell ref="BI29:BW29"/>
    <mergeCell ref="BX29:CL29"/>
    <mergeCell ref="A30:AD32"/>
    <mergeCell ref="AE30:BH30"/>
    <mergeCell ref="BI30:BW30"/>
    <mergeCell ref="BX30:CL30"/>
    <mergeCell ref="AE26:BH26"/>
    <mergeCell ref="BI26:BW26"/>
    <mergeCell ref="BX26:CL26"/>
    <mergeCell ref="A27:AD29"/>
  </mergeCells>
  <pageMargins left="0.9055118110236221" right="0.11811023622047245" top="1.3385826771653544" bottom="0.74803149606299213" header="0.31496062992125984" footer="0.31496062992125984"/>
  <pageSetup paperSize="9" scale="6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28"/>
  <sheetViews>
    <sheetView workbookViewId="0">
      <selection activeCell="C18" sqref="C18:G18"/>
    </sheetView>
  </sheetViews>
  <sheetFormatPr defaultRowHeight="15.75" x14ac:dyDescent="0.25"/>
  <cols>
    <col min="1" max="21" width="9.140625" style="12"/>
    <col min="22" max="22" width="10.28515625" style="12" customWidth="1"/>
    <col min="23" max="16384" width="9.140625" style="12"/>
  </cols>
  <sheetData>
    <row r="1" spans="1:22" x14ac:dyDescent="0.25">
      <c r="A1" s="11"/>
      <c r="B1" s="214" t="s">
        <v>119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2" x14ac:dyDescent="0.25">
      <c r="A2" s="215" t="s">
        <v>120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4" spans="1:22" x14ac:dyDescent="0.25">
      <c r="F4" s="13"/>
      <c r="G4" s="13"/>
      <c r="H4" s="13"/>
      <c r="I4" s="13"/>
      <c r="J4" s="218" t="s">
        <v>42</v>
      </c>
      <c r="K4" s="219"/>
      <c r="L4" s="219"/>
      <c r="M4" s="13"/>
      <c r="N4" s="13"/>
      <c r="O4" s="13"/>
      <c r="P4" s="13"/>
    </row>
    <row r="5" spans="1:22" ht="15" customHeight="1" x14ac:dyDescent="0.25">
      <c r="F5" s="217" t="s">
        <v>41</v>
      </c>
      <c r="G5" s="218"/>
      <c r="H5" s="218"/>
      <c r="I5" s="218"/>
      <c r="J5" s="218"/>
      <c r="K5" s="218"/>
      <c r="L5" s="218"/>
      <c r="M5" s="218"/>
      <c r="N5" s="218"/>
      <c r="O5" s="218"/>
      <c r="P5" s="218"/>
    </row>
    <row r="6" spans="1:22" x14ac:dyDescent="0.25"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</row>
    <row r="7" spans="1:22" x14ac:dyDescent="0.25"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</row>
    <row r="8" spans="1:22" x14ac:dyDescent="0.25">
      <c r="F8" s="14"/>
      <c r="G8" s="14"/>
      <c r="H8" s="220" t="s">
        <v>117</v>
      </c>
      <c r="I8" s="221"/>
      <c r="J8" s="221"/>
      <c r="K8" s="221"/>
      <c r="L8" s="221"/>
      <c r="M8" s="221"/>
      <c r="N8" s="221"/>
      <c r="O8" s="14"/>
      <c r="P8" s="14"/>
    </row>
    <row r="9" spans="1:22" ht="16.5" thickBot="1" x14ac:dyDescent="0.3"/>
    <row r="10" spans="1:22" x14ac:dyDescent="0.25">
      <c r="J10" s="181" t="s">
        <v>44</v>
      </c>
      <c r="K10" s="182"/>
      <c r="L10" s="183"/>
    </row>
    <row r="11" spans="1:22" ht="16.5" thickBot="1" x14ac:dyDescent="0.3">
      <c r="J11" s="196" t="s">
        <v>45</v>
      </c>
      <c r="K11" s="197"/>
      <c r="L11" s="198"/>
    </row>
    <row r="12" spans="1:22" ht="16.5" thickBot="1" x14ac:dyDescent="0.3">
      <c r="E12" s="199" t="s">
        <v>35</v>
      </c>
      <c r="F12" s="200"/>
      <c r="G12" s="200"/>
      <c r="H12" s="201"/>
      <c r="N12" s="199" t="s">
        <v>35</v>
      </c>
      <c r="O12" s="200"/>
      <c r="P12" s="200"/>
      <c r="Q12" s="201"/>
    </row>
    <row r="13" spans="1:22" ht="16.5" thickBot="1" x14ac:dyDescent="0.3">
      <c r="E13" s="202"/>
      <c r="F13" s="203"/>
      <c r="G13" s="203"/>
      <c r="H13" s="204"/>
      <c r="J13" s="181" t="s">
        <v>15</v>
      </c>
      <c r="K13" s="194"/>
      <c r="L13" s="195"/>
      <c r="N13" s="202"/>
      <c r="O13" s="203"/>
      <c r="P13" s="203"/>
      <c r="Q13" s="204"/>
    </row>
    <row r="14" spans="1:22" ht="16.5" thickBot="1" x14ac:dyDescent="0.3">
      <c r="J14" s="205"/>
      <c r="K14" s="206"/>
      <c r="L14" s="207"/>
    </row>
    <row r="15" spans="1:22" ht="16.5" thickBot="1" x14ac:dyDescent="0.3">
      <c r="C15" s="181" t="s">
        <v>46</v>
      </c>
      <c r="D15" s="194"/>
      <c r="E15" s="194"/>
      <c r="F15" s="194"/>
      <c r="G15" s="195"/>
      <c r="O15" s="181" t="s">
        <v>48</v>
      </c>
      <c r="P15" s="194"/>
      <c r="Q15" s="194"/>
      <c r="R15" s="194"/>
      <c r="S15" s="195"/>
    </row>
    <row r="16" spans="1:22" x14ac:dyDescent="0.25">
      <c r="C16" s="177" t="s">
        <v>27</v>
      </c>
      <c r="D16" s="180"/>
      <c r="E16" s="180"/>
      <c r="F16" s="180"/>
      <c r="G16" s="188"/>
      <c r="J16" s="208" t="s">
        <v>43</v>
      </c>
      <c r="K16" s="209"/>
      <c r="L16" s="210"/>
      <c r="O16" s="177" t="s">
        <v>27</v>
      </c>
      <c r="P16" s="180"/>
      <c r="Q16" s="180"/>
      <c r="R16" s="180"/>
      <c r="S16" s="188"/>
    </row>
    <row r="17" spans="3:19" ht="16.5" thickBot="1" x14ac:dyDescent="0.3">
      <c r="C17" s="177" t="s">
        <v>17</v>
      </c>
      <c r="D17" s="180"/>
      <c r="E17" s="180"/>
      <c r="F17" s="180"/>
      <c r="G17" s="188"/>
      <c r="J17" s="211"/>
      <c r="K17" s="212"/>
      <c r="L17" s="213"/>
      <c r="O17" s="177" t="s">
        <v>24</v>
      </c>
      <c r="P17" s="180"/>
      <c r="Q17" s="180"/>
      <c r="R17" s="180"/>
      <c r="S17" s="188"/>
    </row>
    <row r="18" spans="3:19" ht="16.5" thickBot="1" x14ac:dyDescent="0.3">
      <c r="C18" s="224" t="s">
        <v>17</v>
      </c>
      <c r="D18" s="225"/>
      <c r="E18" s="225"/>
      <c r="F18" s="225"/>
      <c r="G18" s="226"/>
      <c r="O18" s="185" t="s">
        <v>37</v>
      </c>
      <c r="P18" s="186"/>
      <c r="Q18" s="186"/>
      <c r="R18" s="186"/>
      <c r="S18" s="187"/>
    </row>
    <row r="19" spans="3:19" ht="16.5" thickBot="1" x14ac:dyDescent="0.3">
      <c r="C19" s="191" t="s">
        <v>24</v>
      </c>
      <c r="D19" s="192"/>
      <c r="E19" s="192"/>
      <c r="F19" s="192"/>
      <c r="G19" s="193"/>
      <c r="J19" s="178"/>
      <c r="K19" s="180"/>
      <c r="L19" s="180"/>
    </row>
    <row r="20" spans="3:19" x14ac:dyDescent="0.25">
      <c r="O20" s="181" t="s">
        <v>47</v>
      </c>
      <c r="P20" s="189"/>
      <c r="Q20" s="189"/>
      <c r="R20" s="189"/>
      <c r="S20" s="190"/>
    </row>
    <row r="21" spans="3:19" x14ac:dyDescent="0.25">
      <c r="H21" s="184"/>
      <c r="I21" s="184"/>
      <c r="J21" s="184"/>
      <c r="O21" s="177" t="s">
        <v>27</v>
      </c>
      <c r="P21" s="180"/>
      <c r="Q21" s="180"/>
      <c r="R21" s="180"/>
      <c r="S21" s="188"/>
    </row>
    <row r="22" spans="3:19" x14ac:dyDescent="0.25">
      <c r="O22" s="177" t="s">
        <v>18</v>
      </c>
      <c r="P22" s="178"/>
      <c r="Q22" s="178"/>
      <c r="R22" s="178"/>
      <c r="S22" s="179"/>
    </row>
    <row r="23" spans="3:19" ht="16.5" thickBot="1" x14ac:dyDescent="0.3">
      <c r="O23" s="191" t="s">
        <v>17</v>
      </c>
      <c r="P23" s="192"/>
      <c r="Q23" s="192"/>
      <c r="R23" s="192"/>
      <c r="S23" s="193"/>
    </row>
    <row r="24" spans="3:19" ht="16.5" thickBot="1" x14ac:dyDescent="0.3"/>
    <row r="25" spans="3:19" x14ac:dyDescent="0.25">
      <c r="O25" s="181" t="s">
        <v>49</v>
      </c>
      <c r="P25" s="189"/>
      <c r="Q25" s="189"/>
      <c r="R25" s="189"/>
      <c r="S25" s="190"/>
    </row>
    <row r="26" spans="3:19" x14ac:dyDescent="0.25">
      <c r="O26" s="177" t="s">
        <v>27</v>
      </c>
      <c r="P26" s="180"/>
      <c r="Q26" s="180"/>
      <c r="R26" s="180"/>
      <c r="S26" s="188"/>
    </row>
    <row r="27" spans="3:19" x14ac:dyDescent="0.25">
      <c r="O27" s="177" t="s">
        <v>18</v>
      </c>
      <c r="P27" s="178"/>
      <c r="Q27" s="178"/>
      <c r="R27" s="178"/>
      <c r="S27" s="179"/>
    </row>
    <row r="28" spans="3:19" ht="16.5" thickBot="1" x14ac:dyDescent="0.3">
      <c r="O28" s="185" t="s">
        <v>17</v>
      </c>
      <c r="P28" s="186"/>
      <c r="Q28" s="186"/>
      <c r="R28" s="186"/>
      <c r="S28" s="187"/>
    </row>
  </sheetData>
  <mergeCells count="30">
    <mergeCell ref="B1:V1"/>
    <mergeCell ref="A2:V2"/>
    <mergeCell ref="F5:P7"/>
    <mergeCell ref="J4:L4"/>
    <mergeCell ref="H8:N8"/>
    <mergeCell ref="C18:G18"/>
    <mergeCell ref="C19:G19"/>
    <mergeCell ref="O15:S15"/>
    <mergeCell ref="O16:S16"/>
    <mergeCell ref="J11:L11"/>
    <mergeCell ref="E12:H13"/>
    <mergeCell ref="J13:L14"/>
    <mergeCell ref="J16:L17"/>
    <mergeCell ref="N12:Q13"/>
    <mergeCell ref="C15:G15"/>
    <mergeCell ref="C16:G16"/>
    <mergeCell ref="C17:G17"/>
    <mergeCell ref="O27:S27"/>
    <mergeCell ref="O28:S28"/>
    <mergeCell ref="J19:L19"/>
    <mergeCell ref="J10:L10"/>
    <mergeCell ref="H21:J21"/>
    <mergeCell ref="O18:S18"/>
    <mergeCell ref="O17:S17"/>
    <mergeCell ref="O20:S20"/>
    <mergeCell ref="O21:S21"/>
    <mergeCell ref="O22:S22"/>
    <mergeCell ref="O23:S23"/>
    <mergeCell ref="O25:S25"/>
    <mergeCell ref="O26:S26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85"/>
  <sheetViews>
    <sheetView workbookViewId="0">
      <selection activeCell="S27" sqref="S27:S28"/>
    </sheetView>
  </sheetViews>
  <sheetFormatPr defaultRowHeight="11.25" x14ac:dyDescent="0.25"/>
  <cols>
    <col min="1" max="1" width="4.28515625" style="16" customWidth="1"/>
    <col min="2" max="2" width="26.5703125" style="30" customWidth="1"/>
    <col min="3" max="4" width="5.140625" style="30" customWidth="1"/>
    <col min="5" max="5" width="8.85546875" style="29" customWidth="1"/>
    <col min="6" max="6" width="9" style="29" customWidth="1"/>
    <col min="7" max="7" width="9.28515625" style="29" customWidth="1"/>
    <col min="8" max="8" width="9.140625" style="29" customWidth="1"/>
    <col min="9" max="9" width="8.7109375" style="29" customWidth="1"/>
    <col min="10" max="10" width="9.7109375" style="29" customWidth="1"/>
    <col min="11" max="11" width="10.42578125" style="29" customWidth="1"/>
    <col min="12" max="12" width="10.7109375" style="29" customWidth="1"/>
    <col min="13" max="13" width="13" style="55" customWidth="1"/>
    <col min="14" max="14" width="9.140625" style="29" customWidth="1"/>
    <col min="15" max="15" width="7.85546875" style="29" customWidth="1"/>
    <col min="16" max="16" width="11.85546875" style="29" customWidth="1"/>
    <col min="17" max="17" width="10" style="29" customWidth="1"/>
    <col min="18" max="18" width="11.42578125" style="55" customWidth="1"/>
    <col min="19" max="19" width="14.42578125" style="29" customWidth="1"/>
    <col min="20" max="20" width="12" style="29" hidden="1" customWidth="1"/>
    <col min="21" max="21" width="10.42578125" style="29" hidden="1" customWidth="1"/>
    <col min="22" max="22" width="12" style="29" hidden="1" customWidth="1"/>
    <col min="23" max="23" width="0" style="29" hidden="1" customWidth="1"/>
    <col min="24" max="24" width="12" style="29" hidden="1" customWidth="1"/>
    <col min="25" max="25" width="10.42578125" style="29" hidden="1" customWidth="1"/>
    <col min="26" max="27" width="0" style="29" hidden="1" customWidth="1"/>
    <col min="28" max="16384" width="9.140625" style="30"/>
  </cols>
  <sheetData>
    <row r="1" spans="1:27" x14ac:dyDescent="0.25">
      <c r="A1" s="15" t="s">
        <v>50</v>
      </c>
    </row>
    <row r="2" spans="1:27" x14ac:dyDescent="0.25">
      <c r="A2" s="15" t="s">
        <v>50</v>
      </c>
    </row>
    <row r="3" spans="1:27" x14ac:dyDescent="0.25">
      <c r="A3" s="15" t="s">
        <v>50</v>
      </c>
    </row>
    <row r="4" spans="1:27" x14ac:dyDescent="0.25">
      <c r="B4" s="56" t="s">
        <v>51</v>
      </c>
    </row>
    <row r="5" spans="1:27" x14ac:dyDescent="0.25">
      <c r="B5" s="56" t="s">
        <v>52</v>
      </c>
    </row>
    <row r="6" spans="1:27" x14ac:dyDescent="0.25">
      <c r="B6" s="56" t="s">
        <v>53</v>
      </c>
    </row>
    <row r="7" spans="1:27" x14ac:dyDescent="0.25">
      <c r="A7" s="17"/>
    </row>
    <row r="8" spans="1:27" x14ac:dyDescent="0.25">
      <c r="B8" s="57">
        <v>1650</v>
      </c>
      <c r="O8" s="58"/>
      <c r="Q8" s="58"/>
    </row>
    <row r="9" spans="1:27" ht="22.5" x14ac:dyDescent="0.25">
      <c r="A9" s="18"/>
      <c r="B9" s="19" t="s">
        <v>54</v>
      </c>
      <c r="C9" s="19" t="s">
        <v>55</v>
      </c>
      <c r="D9" s="20" t="s">
        <v>56</v>
      </c>
      <c r="E9" s="21" t="s">
        <v>57</v>
      </c>
      <c r="F9" s="22" t="s">
        <v>58</v>
      </c>
      <c r="G9" s="22" t="s">
        <v>59</v>
      </c>
      <c r="H9" s="22" t="s">
        <v>60</v>
      </c>
      <c r="I9" s="22" t="s">
        <v>61</v>
      </c>
      <c r="J9" s="22" t="s">
        <v>61</v>
      </c>
      <c r="K9" s="22" t="s">
        <v>20</v>
      </c>
      <c r="L9" s="23" t="s">
        <v>62</v>
      </c>
      <c r="M9" s="24" t="s">
        <v>63</v>
      </c>
      <c r="N9" s="25" t="s">
        <v>64</v>
      </c>
      <c r="O9" s="25" t="s">
        <v>65</v>
      </c>
      <c r="P9" s="25" t="s">
        <v>66</v>
      </c>
      <c r="Q9" s="26" t="s">
        <v>67</v>
      </c>
      <c r="R9" s="27" t="s">
        <v>68</v>
      </c>
      <c r="S9" s="28" t="s">
        <v>69</v>
      </c>
    </row>
    <row r="10" spans="1:27" x14ac:dyDescent="0.25">
      <c r="A10" s="31"/>
      <c r="B10" s="113"/>
      <c r="C10" s="32" t="s">
        <v>70</v>
      </c>
      <c r="D10" s="33" t="s">
        <v>71</v>
      </c>
      <c r="E10" s="34" t="s">
        <v>72</v>
      </c>
      <c r="F10" s="35" t="s">
        <v>73</v>
      </c>
      <c r="G10" s="35" t="s">
        <v>74</v>
      </c>
      <c r="H10" s="35" t="s">
        <v>75</v>
      </c>
      <c r="I10" s="35" t="s">
        <v>76</v>
      </c>
      <c r="J10" s="35" t="s">
        <v>77</v>
      </c>
      <c r="K10" s="35" t="s">
        <v>78</v>
      </c>
      <c r="L10" s="36"/>
      <c r="M10" s="37"/>
      <c r="N10" s="25">
        <v>0.2</v>
      </c>
      <c r="O10" s="25" t="s">
        <v>79</v>
      </c>
      <c r="P10" s="25" t="s">
        <v>80</v>
      </c>
      <c r="Q10" s="25" t="s">
        <v>81</v>
      </c>
      <c r="R10" s="38"/>
      <c r="S10" s="39"/>
      <c r="T10" s="29">
        <f>Q10+P10+O10+N10</f>
        <v>30.2</v>
      </c>
    </row>
    <row r="11" spans="1:27" ht="15" customHeight="1" x14ac:dyDescent="0.25">
      <c r="A11" s="40"/>
      <c r="B11" s="59" t="s">
        <v>82</v>
      </c>
      <c r="C11" s="60"/>
      <c r="D11" s="61"/>
      <c r="E11" s="62"/>
      <c r="F11" s="63"/>
      <c r="G11" s="63"/>
      <c r="H11" s="63"/>
      <c r="I11" s="63"/>
      <c r="J11" s="63"/>
      <c r="K11" s="64"/>
      <c r="L11" s="62"/>
      <c r="M11" s="64"/>
      <c r="N11" s="65"/>
      <c r="O11" s="65"/>
      <c r="P11" s="65"/>
      <c r="Q11" s="65"/>
      <c r="R11" s="66"/>
      <c r="S11" s="65"/>
      <c r="T11" s="29">
        <f>M30*T10/100</f>
        <v>3740987.25</v>
      </c>
    </row>
    <row r="12" spans="1:27" ht="15" customHeight="1" x14ac:dyDescent="0.25">
      <c r="A12" s="41" t="s">
        <v>5</v>
      </c>
      <c r="B12" s="67" t="s">
        <v>83</v>
      </c>
      <c r="C12" s="41">
        <v>1</v>
      </c>
      <c r="D12" s="41">
        <v>25</v>
      </c>
      <c r="E12" s="25">
        <f>B8*D12</f>
        <v>41250</v>
      </c>
      <c r="F12" s="25">
        <f>E12*0.41</f>
        <v>16912.5</v>
      </c>
      <c r="G12" s="25">
        <f>E12*0.5</f>
        <v>20625</v>
      </c>
      <c r="H12" s="25">
        <f>E12*0.25</f>
        <v>10312.5</v>
      </c>
      <c r="I12" s="25">
        <f>E12*0.25</f>
        <v>10312.5</v>
      </c>
      <c r="J12" s="25">
        <v>13200</v>
      </c>
      <c r="K12" s="25">
        <f>E12+F12+G12+H12+I12+J12</f>
        <v>112612.5</v>
      </c>
      <c r="L12" s="25">
        <f>K12*12</f>
        <v>1351350</v>
      </c>
      <c r="M12" s="68">
        <f>E12*33</f>
        <v>1361250</v>
      </c>
      <c r="N12" s="25">
        <f>M12*0.2/100</f>
        <v>2722.5</v>
      </c>
      <c r="O12" s="25">
        <f>M12*2.9/100</f>
        <v>39476.25</v>
      </c>
      <c r="P12" s="25">
        <f>M12*5.1/100</f>
        <v>69423.749999999985</v>
      </c>
      <c r="Q12" s="25">
        <f>M12*22/100</f>
        <v>299475</v>
      </c>
      <c r="R12" s="68">
        <f>Q12+P12+O12+N12</f>
        <v>411097.5</v>
      </c>
      <c r="S12" s="25">
        <f>M12+R12</f>
        <v>1772347.5</v>
      </c>
    </row>
    <row r="13" spans="1:27" s="72" customFormat="1" ht="15" customHeight="1" x14ac:dyDescent="0.25">
      <c r="A13" s="42"/>
      <c r="B13" s="69" t="s">
        <v>84</v>
      </c>
      <c r="C13" s="70">
        <f t="shared" ref="C13:D13" si="0">SUM(C12)</f>
        <v>1</v>
      </c>
      <c r="D13" s="70">
        <f t="shared" si="0"/>
        <v>25</v>
      </c>
      <c r="E13" s="68">
        <f>SUM(E12)</f>
        <v>41250</v>
      </c>
      <c r="F13" s="68">
        <f t="shared" ref="F13:S13" si="1">SUM(F12)</f>
        <v>16912.5</v>
      </c>
      <c r="G13" s="68">
        <f t="shared" si="1"/>
        <v>20625</v>
      </c>
      <c r="H13" s="68">
        <f t="shared" si="1"/>
        <v>10312.5</v>
      </c>
      <c r="I13" s="68">
        <f t="shared" si="1"/>
        <v>10312.5</v>
      </c>
      <c r="J13" s="68">
        <f t="shared" si="1"/>
        <v>13200</v>
      </c>
      <c r="K13" s="68">
        <f t="shared" si="1"/>
        <v>112612.5</v>
      </c>
      <c r="L13" s="68">
        <f t="shared" si="1"/>
        <v>1351350</v>
      </c>
      <c r="M13" s="68">
        <f t="shared" si="1"/>
        <v>1361250</v>
      </c>
      <c r="N13" s="68">
        <f t="shared" si="1"/>
        <v>2722.5</v>
      </c>
      <c r="O13" s="68">
        <f t="shared" si="1"/>
        <v>39476.25</v>
      </c>
      <c r="P13" s="68">
        <f t="shared" si="1"/>
        <v>69423.749999999985</v>
      </c>
      <c r="Q13" s="68">
        <f t="shared" si="1"/>
        <v>299475</v>
      </c>
      <c r="R13" s="68">
        <f t="shared" ref="R13:R31" si="2">N13+O13+P13+Q13</f>
        <v>411097.5</v>
      </c>
      <c r="S13" s="68">
        <f t="shared" si="1"/>
        <v>1772347.5</v>
      </c>
      <c r="T13" s="71"/>
      <c r="U13" s="71"/>
      <c r="V13" s="71"/>
      <c r="W13" s="71"/>
      <c r="X13" s="71"/>
      <c r="Y13" s="71"/>
      <c r="Z13" s="71"/>
      <c r="AA13" s="71"/>
    </row>
    <row r="14" spans="1:27" s="78" customFormat="1" ht="15" customHeight="1" x14ac:dyDescent="0.25">
      <c r="A14" s="43"/>
      <c r="B14" s="73" t="s">
        <v>85</v>
      </c>
      <c r="C14" s="74"/>
      <c r="D14" s="75"/>
      <c r="E14" s="76"/>
      <c r="F14" s="76"/>
      <c r="G14" s="76"/>
      <c r="H14" s="76"/>
      <c r="I14" s="76"/>
      <c r="J14" s="76"/>
      <c r="K14" s="76"/>
      <c r="L14" s="76"/>
      <c r="M14" s="68"/>
      <c r="N14" s="76"/>
      <c r="O14" s="76"/>
      <c r="P14" s="76"/>
      <c r="Q14" s="76"/>
      <c r="R14" s="68">
        <f t="shared" si="2"/>
        <v>0</v>
      </c>
      <c r="S14" s="76"/>
      <c r="T14" s="77"/>
      <c r="U14" s="77"/>
      <c r="V14" s="77"/>
      <c r="W14" s="77"/>
      <c r="X14" s="77"/>
      <c r="Y14" s="77"/>
      <c r="Z14" s="77"/>
      <c r="AA14" s="77"/>
    </row>
    <row r="15" spans="1:27" s="80" customFormat="1" ht="15" customHeight="1" x14ac:dyDescent="0.25">
      <c r="A15" s="53" t="s">
        <v>31</v>
      </c>
      <c r="B15" s="79" t="s">
        <v>86</v>
      </c>
      <c r="C15" s="53">
        <v>1</v>
      </c>
      <c r="D15" s="53">
        <v>21</v>
      </c>
      <c r="E15" s="88">
        <f>B8*D15</f>
        <v>34650</v>
      </c>
      <c r="F15" s="88">
        <f t="shared" ref="F15:F26" si="3">E15*0.41</f>
        <v>14206.5</v>
      </c>
      <c r="G15" s="88">
        <f>E15*0.5</f>
        <v>17325</v>
      </c>
      <c r="H15" s="88">
        <f>E15*0.25</f>
        <v>8662.5</v>
      </c>
      <c r="I15" s="88">
        <f>E15*0.25</f>
        <v>8662.5</v>
      </c>
      <c r="J15" s="88">
        <v>11550</v>
      </c>
      <c r="K15" s="88">
        <f>E15+F15+G15+H15+I15+J15</f>
        <v>95056.5</v>
      </c>
      <c r="L15" s="88">
        <f>K15*12</f>
        <v>1140678</v>
      </c>
      <c r="M15" s="68">
        <f>E15*33</f>
        <v>1143450</v>
      </c>
      <c r="N15" s="88">
        <f>M15*0.2/100</f>
        <v>2286.9</v>
      </c>
      <c r="O15" s="88">
        <f>M15*2.9/100</f>
        <v>33160.050000000003</v>
      </c>
      <c r="P15" s="88">
        <f>M15*5.1/100</f>
        <v>58315.95</v>
      </c>
      <c r="Q15" s="88">
        <f>M15*22/100</f>
        <v>251559</v>
      </c>
      <c r="R15" s="68">
        <f>Q15+P15+O15+N15</f>
        <v>345321.9</v>
      </c>
      <c r="S15" s="88">
        <f>R15+M15</f>
        <v>1488771.9</v>
      </c>
      <c r="T15" s="55">
        <f>E15*33</f>
        <v>1143450</v>
      </c>
      <c r="U15" s="55"/>
      <c r="V15" s="55"/>
      <c r="W15" s="55"/>
      <c r="X15" s="55"/>
      <c r="Y15" s="55"/>
      <c r="Z15" s="55"/>
      <c r="AA15" s="55"/>
    </row>
    <row r="16" spans="1:27" s="80" customFormat="1" ht="15" customHeight="1" x14ac:dyDescent="0.25">
      <c r="A16" s="53" t="s">
        <v>87</v>
      </c>
      <c r="B16" s="79" t="s">
        <v>86</v>
      </c>
      <c r="C16" s="53">
        <v>1</v>
      </c>
      <c r="D16" s="53">
        <v>21</v>
      </c>
      <c r="E16" s="88">
        <f>B8*D16</f>
        <v>34650</v>
      </c>
      <c r="F16" s="88">
        <f t="shared" si="3"/>
        <v>14206.5</v>
      </c>
      <c r="G16" s="88">
        <f>E16*0.5</f>
        <v>17325</v>
      </c>
      <c r="H16" s="88">
        <f>E16*0.25</f>
        <v>8662.5</v>
      </c>
      <c r="I16" s="88">
        <f>E16*0.25</f>
        <v>8662.5</v>
      </c>
      <c r="J16" s="88">
        <v>11550</v>
      </c>
      <c r="K16" s="88">
        <f>E16+F16+G16+H16+I16+J16</f>
        <v>95056.5</v>
      </c>
      <c r="L16" s="88">
        <f>K16*12</f>
        <v>1140678</v>
      </c>
      <c r="M16" s="68">
        <f t="shared" ref="M16:M17" si="4">E16*33</f>
        <v>1143450</v>
      </c>
      <c r="N16" s="88">
        <f t="shared" ref="N16:N29" si="5">M16*0.2/100</f>
        <v>2286.9</v>
      </c>
      <c r="O16" s="88">
        <f t="shared" ref="O16:O29" si="6">M16*2.9/100</f>
        <v>33160.050000000003</v>
      </c>
      <c r="P16" s="88">
        <f t="shared" ref="P16:P29" si="7">M16*5.1/100</f>
        <v>58315.95</v>
      </c>
      <c r="Q16" s="88">
        <f t="shared" ref="Q16:Q29" si="8">M16*22/100</f>
        <v>251559</v>
      </c>
      <c r="R16" s="68">
        <f t="shared" ref="R16:R29" si="9">Q16+P16+O16+N16</f>
        <v>345321.9</v>
      </c>
      <c r="S16" s="88">
        <f t="shared" ref="S16:S29" si="10">R16+M16</f>
        <v>1488771.9</v>
      </c>
      <c r="T16" s="55">
        <f t="shared" ref="T16:T29" si="11">E16*33</f>
        <v>1143450</v>
      </c>
      <c r="U16" s="55"/>
      <c r="V16" s="55"/>
      <c r="W16" s="55"/>
      <c r="X16" s="55"/>
      <c r="Y16" s="55"/>
      <c r="Z16" s="55"/>
      <c r="AA16" s="55"/>
    </row>
    <row r="17" spans="1:27" s="80" customFormat="1" ht="15" customHeight="1" x14ac:dyDescent="0.25">
      <c r="A17" s="53">
        <v>4</v>
      </c>
      <c r="B17" s="79" t="s">
        <v>15</v>
      </c>
      <c r="C17" s="53">
        <v>1</v>
      </c>
      <c r="D17" s="53">
        <v>21</v>
      </c>
      <c r="E17" s="88">
        <f>B8*D17</f>
        <v>34650</v>
      </c>
      <c r="F17" s="88">
        <f t="shared" si="3"/>
        <v>14206.5</v>
      </c>
      <c r="G17" s="88">
        <f t="shared" ref="G17:G24" si="12">E17*0.5</f>
        <v>17325</v>
      </c>
      <c r="H17" s="88">
        <f t="shared" ref="H17:H24" si="13">E17*0.25</f>
        <v>8662.5</v>
      </c>
      <c r="I17" s="88">
        <f t="shared" ref="I17:I24" si="14">E17*0.25</f>
        <v>8662.5</v>
      </c>
      <c r="J17" s="88">
        <v>11550</v>
      </c>
      <c r="K17" s="88">
        <f t="shared" ref="K17:K24" si="15">E17+F17+G17+H17+I17+J17</f>
        <v>95056.5</v>
      </c>
      <c r="L17" s="88">
        <f t="shared" ref="L17:L29" si="16">K17*12</f>
        <v>1140678</v>
      </c>
      <c r="M17" s="68">
        <f t="shared" si="4"/>
        <v>1143450</v>
      </c>
      <c r="N17" s="88">
        <f t="shared" si="5"/>
        <v>2286.9</v>
      </c>
      <c r="O17" s="88">
        <f t="shared" si="6"/>
        <v>33160.050000000003</v>
      </c>
      <c r="P17" s="88">
        <f t="shared" si="7"/>
        <v>58315.95</v>
      </c>
      <c r="Q17" s="88">
        <f t="shared" si="8"/>
        <v>251559</v>
      </c>
      <c r="R17" s="68">
        <f t="shared" si="9"/>
        <v>345321.9</v>
      </c>
      <c r="S17" s="88">
        <f t="shared" si="10"/>
        <v>1488771.9</v>
      </c>
      <c r="T17" s="55">
        <f t="shared" si="11"/>
        <v>1143450</v>
      </c>
      <c r="U17" s="55"/>
      <c r="V17" s="55"/>
      <c r="W17" s="55"/>
      <c r="X17" s="55"/>
      <c r="Y17" s="55"/>
      <c r="Z17" s="55"/>
      <c r="AA17" s="55"/>
    </row>
    <row r="18" spans="1:27" s="80" customFormat="1" ht="15" customHeight="1" x14ac:dyDescent="0.25">
      <c r="A18" s="53">
        <v>5</v>
      </c>
      <c r="B18" s="79" t="s">
        <v>27</v>
      </c>
      <c r="C18" s="53">
        <v>1</v>
      </c>
      <c r="D18" s="53">
        <v>18</v>
      </c>
      <c r="E18" s="88">
        <f>B8*D18</f>
        <v>29700</v>
      </c>
      <c r="F18" s="88">
        <f t="shared" si="3"/>
        <v>12177</v>
      </c>
      <c r="G18" s="88">
        <f t="shared" si="12"/>
        <v>14850</v>
      </c>
      <c r="H18" s="88">
        <f t="shared" si="13"/>
        <v>7425</v>
      </c>
      <c r="I18" s="88">
        <f>E18*0.25</f>
        <v>7425</v>
      </c>
      <c r="J18" s="88">
        <v>8250</v>
      </c>
      <c r="K18" s="88">
        <f t="shared" si="15"/>
        <v>79827</v>
      </c>
      <c r="L18" s="88">
        <f t="shared" si="16"/>
        <v>957924</v>
      </c>
      <c r="M18" s="68">
        <f>E18*33</f>
        <v>980100</v>
      </c>
      <c r="N18" s="88">
        <f t="shared" si="5"/>
        <v>1960.2</v>
      </c>
      <c r="O18" s="88">
        <f t="shared" si="6"/>
        <v>28422.9</v>
      </c>
      <c r="P18" s="88">
        <f t="shared" si="7"/>
        <v>49985.1</v>
      </c>
      <c r="Q18" s="88">
        <f t="shared" si="8"/>
        <v>215622</v>
      </c>
      <c r="R18" s="68">
        <f t="shared" si="9"/>
        <v>295990.2</v>
      </c>
      <c r="S18" s="88">
        <f t="shared" si="10"/>
        <v>1276090.2</v>
      </c>
      <c r="T18" s="55">
        <f t="shared" si="11"/>
        <v>980100</v>
      </c>
      <c r="U18" s="55"/>
      <c r="V18" s="55"/>
      <c r="W18" s="55"/>
      <c r="X18" s="55"/>
      <c r="Y18" s="55"/>
      <c r="Z18" s="55"/>
      <c r="AA18" s="55"/>
    </row>
    <row r="19" spans="1:27" s="80" customFormat="1" ht="15" customHeight="1" x14ac:dyDescent="0.25">
      <c r="A19" s="53">
        <v>6</v>
      </c>
      <c r="B19" s="79" t="s">
        <v>27</v>
      </c>
      <c r="C19" s="53">
        <v>1</v>
      </c>
      <c r="D19" s="53">
        <v>18</v>
      </c>
      <c r="E19" s="88">
        <f>D19*B8</f>
        <v>29700</v>
      </c>
      <c r="F19" s="88">
        <f t="shared" si="3"/>
        <v>12177</v>
      </c>
      <c r="G19" s="88">
        <f t="shared" si="12"/>
        <v>14850</v>
      </c>
      <c r="H19" s="88">
        <f t="shared" si="13"/>
        <v>7425</v>
      </c>
      <c r="I19" s="88">
        <f t="shared" si="14"/>
        <v>7425</v>
      </c>
      <c r="J19" s="88">
        <v>8250</v>
      </c>
      <c r="K19" s="88">
        <f t="shared" si="15"/>
        <v>79827</v>
      </c>
      <c r="L19" s="88">
        <f t="shared" si="16"/>
        <v>957924</v>
      </c>
      <c r="M19" s="68">
        <f t="shared" ref="M19:M29" si="17">E19*33</f>
        <v>980100</v>
      </c>
      <c r="N19" s="88">
        <f t="shared" si="5"/>
        <v>1960.2</v>
      </c>
      <c r="O19" s="88">
        <f t="shared" si="6"/>
        <v>28422.9</v>
      </c>
      <c r="P19" s="88">
        <f t="shared" si="7"/>
        <v>49985.1</v>
      </c>
      <c r="Q19" s="88">
        <f t="shared" si="8"/>
        <v>215622</v>
      </c>
      <c r="R19" s="68">
        <f t="shared" si="9"/>
        <v>295990.2</v>
      </c>
      <c r="S19" s="88">
        <f t="shared" si="10"/>
        <v>1276090.2</v>
      </c>
      <c r="T19" s="55">
        <f t="shared" si="11"/>
        <v>980100</v>
      </c>
      <c r="U19" s="55"/>
      <c r="V19" s="55"/>
      <c r="W19" s="55"/>
      <c r="X19" s="55"/>
      <c r="Y19" s="55"/>
      <c r="Z19" s="55"/>
      <c r="AA19" s="55"/>
    </row>
    <row r="20" spans="1:27" s="80" customFormat="1" ht="15" customHeight="1" x14ac:dyDescent="0.25">
      <c r="A20" s="53">
        <v>7</v>
      </c>
      <c r="B20" s="79" t="s">
        <v>27</v>
      </c>
      <c r="C20" s="53">
        <v>1</v>
      </c>
      <c r="D20" s="53">
        <v>18</v>
      </c>
      <c r="E20" s="88">
        <f>D20*B8</f>
        <v>29700</v>
      </c>
      <c r="F20" s="88">
        <f t="shared" si="3"/>
        <v>12177</v>
      </c>
      <c r="G20" s="88">
        <f t="shared" si="12"/>
        <v>14850</v>
      </c>
      <c r="H20" s="88">
        <f t="shared" si="13"/>
        <v>7425</v>
      </c>
      <c r="I20" s="88">
        <f t="shared" si="14"/>
        <v>7425</v>
      </c>
      <c r="J20" s="88">
        <v>6600</v>
      </c>
      <c r="K20" s="88">
        <f t="shared" si="15"/>
        <v>78177</v>
      </c>
      <c r="L20" s="88">
        <f t="shared" si="16"/>
        <v>938124</v>
      </c>
      <c r="M20" s="68">
        <f t="shared" si="17"/>
        <v>980100</v>
      </c>
      <c r="N20" s="88">
        <f t="shared" si="5"/>
        <v>1960.2</v>
      </c>
      <c r="O20" s="88">
        <f t="shared" si="6"/>
        <v>28422.9</v>
      </c>
      <c r="P20" s="88">
        <f t="shared" si="7"/>
        <v>49985.1</v>
      </c>
      <c r="Q20" s="88">
        <f t="shared" si="8"/>
        <v>215622</v>
      </c>
      <c r="R20" s="68">
        <f t="shared" si="9"/>
        <v>295990.2</v>
      </c>
      <c r="S20" s="88">
        <f t="shared" si="10"/>
        <v>1276090.2</v>
      </c>
      <c r="T20" s="55">
        <f t="shared" si="11"/>
        <v>980100</v>
      </c>
      <c r="U20" s="55"/>
      <c r="V20" s="55"/>
      <c r="W20" s="55"/>
      <c r="X20" s="55"/>
      <c r="Y20" s="55"/>
      <c r="Z20" s="55"/>
      <c r="AA20" s="55"/>
    </row>
    <row r="21" spans="1:27" s="80" customFormat="1" ht="15" customHeight="1" x14ac:dyDescent="0.25">
      <c r="A21" s="53">
        <v>8</v>
      </c>
      <c r="B21" s="79" t="s">
        <v>18</v>
      </c>
      <c r="C21" s="53">
        <v>1</v>
      </c>
      <c r="D21" s="53">
        <v>16</v>
      </c>
      <c r="E21" s="88">
        <f>B8*D21</f>
        <v>26400</v>
      </c>
      <c r="F21" s="88">
        <f t="shared" si="3"/>
        <v>10824</v>
      </c>
      <c r="G21" s="88">
        <f t="shared" si="12"/>
        <v>13200</v>
      </c>
      <c r="H21" s="88">
        <f t="shared" si="13"/>
        <v>6600</v>
      </c>
      <c r="I21" s="88">
        <f t="shared" si="14"/>
        <v>6600</v>
      </c>
      <c r="J21" s="88">
        <v>6600</v>
      </c>
      <c r="K21" s="88">
        <f t="shared" si="15"/>
        <v>70224</v>
      </c>
      <c r="L21" s="88">
        <f t="shared" si="16"/>
        <v>842688</v>
      </c>
      <c r="M21" s="68">
        <f t="shared" si="17"/>
        <v>871200</v>
      </c>
      <c r="N21" s="88">
        <f t="shared" si="5"/>
        <v>1742.4</v>
      </c>
      <c r="O21" s="88">
        <f t="shared" si="6"/>
        <v>25264.799999999999</v>
      </c>
      <c r="P21" s="88">
        <f t="shared" si="7"/>
        <v>44431.199999999997</v>
      </c>
      <c r="Q21" s="88">
        <f t="shared" si="8"/>
        <v>191664</v>
      </c>
      <c r="R21" s="68">
        <f t="shared" si="9"/>
        <v>263102.40000000002</v>
      </c>
      <c r="S21" s="88">
        <f t="shared" si="10"/>
        <v>1134302.3999999999</v>
      </c>
      <c r="T21" s="55">
        <f t="shared" si="11"/>
        <v>871200</v>
      </c>
      <c r="U21" s="55"/>
      <c r="V21" s="55"/>
      <c r="W21" s="55"/>
      <c r="X21" s="55"/>
      <c r="Y21" s="55"/>
      <c r="Z21" s="55"/>
      <c r="AA21" s="55"/>
    </row>
    <row r="22" spans="1:27" s="80" customFormat="1" ht="15" customHeight="1" x14ac:dyDescent="0.25">
      <c r="A22" s="53">
        <v>9</v>
      </c>
      <c r="B22" s="79" t="s">
        <v>17</v>
      </c>
      <c r="C22" s="53">
        <v>1</v>
      </c>
      <c r="D22" s="53">
        <v>15</v>
      </c>
      <c r="E22" s="88">
        <f>B8*D22</f>
        <v>24750</v>
      </c>
      <c r="F22" s="88">
        <f t="shared" si="3"/>
        <v>10147.5</v>
      </c>
      <c r="G22" s="88">
        <f t="shared" si="12"/>
        <v>12375</v>
      </c>
      <c r="H22" s="88">
        <f t="shared" si="13"/>
        <v>6187.5</v>
      </c>
      <c r="I22" s="88">
        <f t="shared" si="14"/>
        <v>6187.5</v>
      </c>
      <c r="J22" s="88">
        <v>6600</v>
      </c>
      <c r="K22" s="88">
        <f t="shared" si="15"/>
        <v>66247.5</v>
      </c>
      <c r="L22" s="88">
        <f t="shared" si="16"/>
        <v>794970</v>
      </c>
      <c r="M22" s="68">
        <f t="shared" si="17"/>
        <v>816750</v>
      </c>
      <c r="N22" s="88">
        <f t="shared" si="5"/>
        <v>1633.5</v>
      </c>
      <c r="O22" s="88">
        <f t="shared" si="6"/>
        <v>23685.75</v>
      </c>
      <c r="P22" s="88">
        <f t="shared" si="7"/>
        <v>41654.249999999993</v>
      </c>
      <c r="Q22" s="88">
        <f t="shared" si="8"/>
        <v>179685</v>
      </c>
      <c r="R22" s="68">
        <f t="shared" si="9"/>
        <v>246658.5</v>
      </c>
      <c r="S22" s="88">
        <f t="shared" si="10"/>
        <v>1063408.5</v>
      </c>
      <c r="T22" s="55">
        <f t="shared" si="11"/>
        <v>816750</v>
      </c>
      <c r="U22" s="55"/>
      <c r="V22" s="55"/>
      <c r="W22" s="55"/>
      <c r="X22" s="55"/>
      <c r="Y22" s="55"/>
      <c r="Z22" s="55"/>
      <c r="AA22" s="55"/>
    </row>
    <row r="23" spans="1:27" ht="15" customHeight="1" x14ac:dyDescent="0.25">
      <c r="A23" s="41">
        <v>10</v>
      </c>
      <c r="B23" s="67" t="s">
        <v>17</v>
      </c>
      <c r="C23" s="41">
        <f t="shared" ref="C23" si="18">C22</f>
        <v>1</v>
      </c>
      <c r="D23" s="41">
        <v>15</v>
      </c>
      <c r="E23" s="25">
        <f>D23*B8</f>
        <v>24750</v>
      </c>
      <c r="F23" s="25">
        <f t="shared" si="3"/>
        <v>10147.5</v>
      </c>
      <c r="G23" s="25">
        <f t="shared" si="12"/>
        <v>12375</v>
      </c>
      <c r="H23" s="25">
        <f t="shared" si="13"/>
        <v>6187.5</v>
      </c>
      <c r="I23" s="25">
        <f t="shared" si="14"/>
        <v>6187.5</v>
      </c>
      <c r="J23" s="25">
        <v>4950</v>
      </c>
      <c r="K23" s="25">
        <f t="shared" si="15"/>
        <v>64597.5</v>
      </c>
      <c r="L23" s="25">
        <f t="shared" si="16"/>
        <v>775170</v>
      </c>
      <c r="M23" s="68">
        <f t="shared" si="17"/>
        <v>816750</v>
      </c>
      <c r="N23" s="25">
        <f t="shared" si="5"/>
        <v>1633.5</v>
      </c>
      <c r="O23" s="25">
        <f t="shared" si="6"/>
        <v>23685.75</v>
      </c>
      <c r="P23" s="25">
        <f t="shared" si="7"/>
        <v>41654.249999999993</v>
      </c>
      <c r="Q23" s="25">
        <f t="shared" si="8"/>
        <v>179685</v>
      </c>
      <c r="R23" s="68">
        <f t="shared" si="9"/>
        <v>246658.5</v>
      </c>
      <c r="S23" s="25">
        <f t="shared" si="10"/>
        <v>1063408.5</v>
      </c>
      <c r="T23" s="29">
        <f t="shared" si="11"/>
        <v>816750</v>
      </c>
    </row>
    <row r="24" spans="1:27" ht="15" customHeight="1" x14ac:dyDescent="0.25">
      <c r="A24" s="41">
        <v>11</v>
      </c>
      <c r="B24" s="67" t="str">
        <f>B23</f>
        <v>Ведущий специалист</v>
      </c>
      <c r="C24" s="41">
        <v>1</v>
      </c>
      <c r="D24" s="41">
        <v>15</v>
      </c>
      <c r="E24" s="25">
        <f>B8*D24</f>
        <v>24750</v>
      </c>
      <c r="F24" s="25">
        <f t="shared" si="3"/>
        <v>10147.5</v>
      </c>
      <c r="G24" s="25">
        <f t="shared" si="12"/>
        <v>12375</v>
      </c>
      <c r="H24" s="25">
        <f t="shared" si="13"/>
        <v>6187.5</v>
      </c>
      <c r="I24" s="25">
        <f t="shared" si="14"/>
        <v>6187.5</v>
      </c>
      <c r="J24" s="25">
        <v>4950</v>
      </c>
      <c r="K24" s="25">
        <f t="shared" si="15"/>
        <v>64597.5</v>
      </c>
      <c r="L24" s="25">
        <f t="shared" si="16"/>
        <v>775170</v>
      </c>
      <c r="M24" s="68">
        <f t="shared" si="17"/>
        <v>816750</v>
      </c>
      <c r="N24" s="25">
        <f t="shared" si="5"/>
        <v>1633.5</v>
      </c>
      <c r="O24" s="25">
        <f t="shared" si="6"/>
        <v>23685.75</v>
      </c>
      <c r="P24" s="25">
        <f t="shared" si="7"/>
        <v>41654.249999999993</v>
      </c>
      <c r="Q24" s="25">
        <f t="shared" si="8"/>
        <v>179685</v>
      </c>
      <c r="R24" s="68">
        <f t="shared" si="9"/>
        <v>246658.5</v>
      </c>
      <c r="S24" s="25">
        <f t="shared" si="10"/>
        <v>1063408.5</v>
      </c>
      <c r="T24" s="29">
        <f t="shared" si="11"/>
        <v>816750</v>
      </c>
    </row>
    <row r="25" spans="1:27" s="80" customFormat="1" ht="15" customHeight="1" x14ac:dyDescent="0.25">
      <c r="A25" s="53">
        <v>12</v>
      </c>
      <c r="B25" s="79" t="s">
        <v>88</v>
      </c>
      <c r="C25" s="53">
        <v>1</v>
      </c>
      <c r="D25" s="53">
        <v>13</v>
      </c>
      <c r="E25" s="88">
        <f>B8*D25</f>
        <v>21450</v>
      </c>
      <c r="F25" s="88">
        <f t="shared" si="3"/>
        <v>8794.5</v>
      </c>
      <c r="G25" s="88">
        <f>E25*0.5</f>
        <v>10725</v>
      </c>
      <c r="H25" s="88">
        <f>E25*0.25</f>
        <v>5362.5</v>
      </c>
      <c r="I25" s="88">
        <f>E25*0.25</f>
        <v>5362.5</v>
      </c>
      <c r="J25" s="88">
        <v>4950</v>
      </c>
      <c r="K25" s="88">
        <f>E25+F25+G25+H25+I25+J25</f>
        <v>56644.5</v>
      </c>
      <c r="L25" s="88">
        <f t="shared" si="16"/>
        <v>679734</v>
      </c>
      <c r="M25" s="68">
        <f t="shared" si="17"/>
        <v>707850</v>
      </c>
      <c r="N25" s="88">
        <f t="shared" si="5"/>
        <v>1415.7</v>
      </c>
      <c r="O25" s="88">
        <f t="shared" si="6"/>
        <v>20527.650000000001</v>
      </c>
      <c r="P25" s="88">
        <f t="shared" si="7"/>
        <v>36100.35</v>
      </c>
      <c r="Q25" s="88">
        <f t="shared" si="8"/>
        <v>155727</v>
      </c>
      <c r="R25" s="68">
        <f t="shared" si="9"/>
        <v>213770.7</v>
      </c>
      <c r="S25" s="88">
        <f t="shared" si="10"/>
        <v>921620.7</v>
      </c>
      <c r="T25" s="55">
        <f t="shared" si="11"/>
        <v>707850</v>
      </c>
      <c r="U25" s="55"/>
      <c r="V25" s="55"/>
      <c r="W25" s="55"/>
      <c r="X25" s="55"/>
      <c r="Y25" s="55"/>
      <c r="Z25" s="55"/>
      <c r="AA25" s="55"/>
    </row>
    <row r="26" spans="1:27" s="80" customFormat="1" ht="15" customHeight="1" x14ac:dyDescent="0.25">
      <c r="A26" s="53">
        <v>13</v>
      </c>
      <c r="B26" s="79" t="s">
        <v>88</v>
      </c>
      <c r="C26" s="53">
        <f t="shared" ref="C26" si="19">C25</f>
        <v>1</v>
      </c>
      <c r="D26" s="53">
        <v>13</v>
      </c>
      <c r="E26" s="88">
        <f>D26*1650</f>
        <v>21450</v>
      </c>
      <c r="F26" s="88">
        <f t="shared" si="3"/>
        <v>8794.5</v>
      </c>
      <c r="G26" s="88">
        <f t="shared" ref="G26:G29" si="20">E26*0.5</f>
        <v>10725</v>
      </c>
      <c r="H26" s="88">
        <f t="shared" ref="H26:H29" si="21">E26*0.25</f>
        <v>5362.5</v>
      </c>
      <c r="I26" s="88">
        <f t="shared" ref="I26:I29" si="22">E26*0.25</f>
        <v>5362.5</v>
      </c>
      <c r="J26" s="88">
        <v>4950</v>
      </c>
      <c r="K26" s="88">
        <f t="shared" ref="K26:K29" si="23">E26+F26+G26+H26+I26+J26</f>
        <v>56644.5</v>
      </c>
      <c r="L26" s="88">
        <f t="shared" si="16"/>
        <v>679734</v>
      </c>
      <c r="M26" s="68">
        <f t="shared" si="17"/>
        <v>707850</v>
      </c>
      <c r="N26" s="88">
        <f t="shared" si="5"/>
        <v>1415.7</v>
      </c>
      <c r="O26" s="88">
        <f t="shared" si="6"/>
        <v>20527.650000000001</v>
      </c>
      <c r="P26" s="88">
        <f t="shared" si="7"/>
        <v>36100.35</v>
      </c>
      <c r="Q26" s="88">
        <f t="shared" si="8"/>
        <v>155727</v>
      </c>
      <c r="R26" s="68">
        <f t="shared" si="9"/>
        <v>213770.7</v>
      </c>
      <c r="S26" s="88">
        <f t="shared" si="10"/>
        <v>921620.7</v>
      </c>
      <c r="T26" s="55">
        <f t="shared" si="11"/>
        <v>707850</v>
      </c>
      <c r="U26" s="55"/>
      <c r="V26" s="55"/>
      <c r="W26" s="55"/>
      <c r="X26" s="55"/>
      <c r="Y26" s="55"/>
      <c r="Z26" s="55"/>
      <c r="AA26" s="55"/>
    </row>
    <row r="27" spans="1:27" s="120" customFormat="1" ht="15" customHeight="1" x14ac:dyDescent="0.25">
      <c r="A27" s="222">
        <v>14</v>
      </c>
      <c r="B27" s="116" t="s">
        <v>112</v>
      </c>
      <c r="C27" s="117">
        <f>C26</f>
        <v>1</v>
      </c>
      <c r="D27" s="117">
        <v>13</v>
      </c>
      <c r="E27" s="118">
        <f>D27*1650</f>
        <v>21450</v>
      </c>
      <c r="F27" s="118">
        <f>E27*0.41</f>
        <v>8794.5</v>
      </c>
      <c r="G27" s="118">
        <f t="shared" si="20"/>
        <v>10725</v>
      </c>
      <c r="H27" s="118">
        <f t="shared" si="21"/>
        <v>5362.5</v>
      </c>
      <c r="I27" s="118">
        <f t="shared" si="22"/>
        <v>5362.5</v>
      </c>
      <c r="J27" s="118">
        <v>4950</v>
      </c>
      <c r="K27" s="118">
        <f t="shared" si="23"/>
        <v>56644.5</v>
      </c>
      <c r="L27" s="118">
        <f>K27*9</f>
        <v>509800.5</v>
      </c>
      <c r="M27" s="118">
        <f>(((E27*33)*9)/12)</f>
        <v>530887.5</v>
      </c>
      <c r="N27" s="118">
        <f t="shared" si="5"/>
        <v>1061.7750000000001</v>
      </c>
      <c r="O27" s="118">
        <f t="shared" si="6"/>
        <v>15395.737499999999</v>
      </c>
      <c r="P27" s="118">
        <f t="shared" si="7"/>
        <v>27075.262500000001</v>
      </c>
      <c r="Q27" s="118">
        <f t="shared" si="8"/>
        <v>116795.25</v>
      </c>
      <c r="R27" s="118">
        <f t="shared" si="9"/>
        <v>160328.02499999999</v>
      </c>
      <c r="S27" s="118">
        <f t="shared" si="10"/>
        <v>691215.52500000002</v>
      </c>
      <c r="T27" s="119">
        <f t="shared" si="11"/>
        <v>707850</v>
      </c>
      <c r="U27" s="119"/>
      <c r="V27" s="119"/>
      <c r="W27" s="119"/>
      <c r="X27" s="119"/>
      <c r="Y27" s="119"/>
      <c r="Z27" s="119"/>
      <c r="AA27" s="119"/>
    </row>
    <row r="28" spans="1:27" s="125" customFormat="1" ht="15" customHeight="1" x14ac:dyDescent="0.25">
      <c r="A28" s="223"/>
      <c r="B28" s="122" t="s">
        <v>113</v>
      </c>
      <c r="C28" s="123">
        <v>1</v>
      </c>
      <c r="D28" s="123">
        <v>11</v>
      </c>
      <c r="E28" s="121">
        <f>D28*1650</f>
        <v>18150</v>
      </c>
      <c r="F28" s="121">
        <f>E28*0.41</f>
        <v>7441.5</v>
      </c>
      <c r="G28" s="121">
        <f t="shared" ref="G28" si="24">E28*0.5</f>
        <v>9075</v>
      </c>
      <c r="H28" s="121">
        <f t="shared" ref="H28" si="25">E28*0.25</f>
        <v>4537.5</v>
      </c>
      <c r="I28" s="121">
        <f t="shared" ref="I28" si="26">E28*0.25</f>
        <v>4537.5</v>
      </c>
      <c r="J28" s="121">
        <v>4950</v>
      </c>
      <c r="K28" s="121">
        <f t="shared" ref="K28" si="27">E28+F28+G28+H28+I28+J28</f>
        <v>48691.5</v>
      </c>
      <c r="L28" s="121">
        <f>K28*3</f>
        <v>146074.5</v>
      </c>
      <c r="M28" s="121">
        <f>(((E28*33)*3)/12)</f>
        <v>149737.5</v>
      </c>
      <c r="N28" s="121">
        <f t="shared" ref="N28" si="28">M28*0.2/100</f>
        <v>299.47500000000002</v>
      </c>
      <c r="O28" s="121">
        <f t="shared" ref="O28" si="29">M28*2.9/100</f>
        <v>4342.3874999999998</v>
      </c>
      <c r="P28" s="121">
        <f t="shared" ref="P28" si="30">M28*5.1/100</f>
        <v>7636.6125000000002</v>
      </c>
      <c r="Q28" s="121">
        <f t="shared" ref="Q28" si="31">M28*22/100</f>
        <v>32942.25</v>
      </c>
      <c r="R28" s="121">
        <f t="shared" ref="R28" si="32">Q28+P28+O28+N28</f>
        <v>45220.724999999999</v>
      </c>
      <c r="S28" s="121">
        <f t="shared" ref="S28" si="33">R28+M28</f>
        <v>194958.22500000001</v>
      </c>
      <c r="T28" s="124"/>
      <c r="U28" s="124"/>
      <c r="V28" s="124"/>
      <c r="W28" s="124"/>
      <c r="X28" s="124"/>
      <c r="Y28" s="124"/>
      <c r="Z28" s="124"/>
      <c r="AA28" s="124"/>
    </row>
    <row r="29" spans="1:27" s="80" customFormat="1" ht="15" customHeight="1" x14ac:dyDescent="0.25">
      <c r="A29" s="53">
        <v>15</v>
      </c>
      <c r="B29" s="79" t="s">
        <v>89</v>
      </c>
      <c r="C29" s="53">
        <f>C27</f>
        <v>1</v>
      </c>
      <c r="D29" s="53">
        <v>11</v>
      </c>
      <c r="E29" s="88">
        <f>D29*1650</f>
        <v>18150</v>
      </c>
      <c r="F29" s="88">
        <f>E29*0.41</f>
        <v>7441.5</v>
      </c>
      <c r="G29" s="88">
        <f t="shared" si="20"/>
        <v>9075</v>
      </c>
      <c r="H29" s="88">
        <f t="shared" si="21"/>
        <v>4537.5</v>
      </c>
      <c r="I29" s="88">
        <f t="shared" si="22"/>
        <v>4537.5</v>
      </c>
      <c r="J29" s="88">
        <v>4951</v>
      </c>
      <c r="K29" s="88">
        <f t="shared" si="23"/>
        <v>48692.5</v>
      </c>
      <c r="L29" s="88">
        <f t="shared" si="16"/>
        <v>584310</v>
      </c>
      <c r="M29" s="68">
        <f t="shared" si="17"/>
        <v>598950</v>
      </c>
      <c r="N29" s="88">
        <f t="shared" si="5"/>
        <v>1197.9000000000001</v>
      </c>
      <c r="O29" s="88">
        <f t="shared" si="6"/>
        <v>17369.55</v>
      </c>
      <c r="P29" s="88">
        <f t="shared" si="7"/>
        <v>30546.45</v>
      </c>
      <c r="Q29" s="88">
        <f t="shared" si="8"/>
        <v>131769</v>
      </c>
      <c r="R29" s="68">
        <f t="shared" si="9"/>
        <v>180882.9</v>
      </c>
      <c r="S29" s="88">
        <f t="shared" si="10"/>
        <v>779832.9</v>
      </c>
      <c r="T29" s="55">
        <f t="shared" si="11"/>
        <v>598950</v>
      </c>
      <c r="U29" s="55"/>
      <c r="V29" s="55"/>
      <c r="W29" s="55"/>
      <c r="X29" s="55"/>
      <c r="Y29" s="55"/>
      <c r="Z29" s="55"/>
      <c r="AA29" s="55"/>
    </row>
    <row r="30" spans="1:27" s="80" customFormat="1" ht="15" customHeight="1" x14ac:dyDescent="0.25">
      <c r="A30" s="44"/>
      <c r="B30" s="69" t="s">
        <v>84</v>
      </c>
      <c r="C30" s="42">
        <f>SUM(C15:C29)</f>
        <v>15</v>
      </c>
      <c r="D30" s="42">
        <f>SUM(D15:D29)</f>
        <v>239</v>
      </c>
      <c r="E30" s="68">
        <f>SUM(E15:E27)+E28+E29</f>
        <v>394350</v>
      </c>
      <c r="F30" s="68">
        <f t="shared" ref="F30:M30" si="34">SUM(F15:F27)+F28+F29</f>
        <v>161683.5</v>
      </c>
      <c r="G30" s="68">
        <f t="shared" si="34"/>
        <v>197175</v>
      </c>
      <c r="H30" s="68">
        <f t="shared" si="34"/>
        <v>98587.5</v>
      </c>
      <c r="I30" s="68">
        <f t="shared" si="34"/>
        <v>98587.5</v>
      </c>
      <c r="J30" s="68">
        <f t="shared" si="34"/>
        <v>105601</v>
      </c>
      <c r="K30" s="68">
        <f t="shared" si="34"/>
        <v>1055984.5</v>
      </c>
      <c r="L30" s="68">
        <f t="shared" si="34"/>
        <v>12063657</v>
      </c>
      <c r="M30" s="68">
        <f t="shared" si="34"/>
        <v>12387375</v>
      </c>
      <c r="N30" s="68">
        <f t="shared" ref="N30" si="35">SUM(N15:N27)+N28+N29</f>
        <v>24774.750000000007</v>
      </c>
      <c r="O30" s="68">
        <f t="shared" ref="O30" si="36">SUM(O15:O27)+O28+O29</f>
        <v>359233.87500000006</v>
      </c>
      <c r="P30" s="68">
        <f t="shared" ref="P30" si="37">SUM(P15:P27)+P28+P29</f>
        <v>631756.12499999988</v>
      </c>
      <c r="Q30" s="68">
        <f t="shared" ref="Q30" si="38">SUM(Q15:Q27)+Q28+Q29</f>
        <v>2725222.5</v>
      </c>
      <c r="R30" s="68">
        <f t="shared" ref="R30" si="39">SUM(R15:R27)+R28+R29</f>
        <v>3740987.2500000005</v>
      </c>
      <c r="S30" s="68">
        <f t="shared" ref="S30" si="40">SUM(S15:S27)+S28+S29</f>
        <v>16128362.249999998</v>
      </c>
      <c r="T30" s="55">
        <f>SUM(T15:T29)</f>
        <v>12414600</v>
      </c>
      <c r="U30" s="55"/>
      <c r="V30" s="55"/>
      <c r="W30" s="55"/>
      <c r="X30" s="55"/>
      <c r="Y30" s="55"/>
      <c r="Z30" s="55"/>
      <c r="AA30" s="55"/>
    </row>
    <row r="31" spans="1:27" ht="15" customHeight="1" x14ac:dyDescent="0.25">
      <c r="A31" s="45"/>
      <c r="B31" s="43" t="s">
        <v>90</v>
      </c>
      <c r="C31" s="43">
        <f t="shared" ref="C31:Q31" si="41">C30+C13</f>
        <v>16</v>
      </c>
      <c r="D31" s="43">
        <f t="shared" si="41"/>
        <v>264</v>
      </c>
      <c r="E31" s="81">
        <f t="shared" si="41"/>
        <v>435600</v>
      </c>
      <c r="F31" s="81">
        <f t="shared" si="41"/>
        <v>178596</v>
      </c>
      <c r="G31" s="81">
        <f t="shared" si="41"/>
        <v>217800</v>
      </c>
      <c r="H31" s="81">
        <f t="shared" si="41"/>
        <v>108900</v>
      </c>
      <c r="I31" s="126">
        <f t="shared" si="41"/>
        <v>108900</v>
      </c>
      <c r="J31" s="81">
        <f t="shared" si="41"/>
        <v>118801</v>
      </c>
      <c r="K31" s="81">
        <f t="shared" si="41"/>
        <v>1168597</v>
      </c>
      <c r="L31" s="81">
        <f t="shared" si="41"/>
        <v>13415007</v>
      </c>
      <c r="M31" s="68">
        <f t="shared" si="41"/>
        <v>13748625</v>
      </c>
      <c r="N31" s="76">
        <f t="shared" si="41"/>
        <v>27497.250000000007</v>
      </c>
      <c r="O31" s="76">
        <f t="shared" si="41"/>
        <v>398710.12500000006</v>
      </c>
      <c r="P31" s="81">
        <f t="shared" si="41"/>
        <v>701179.87499999988</v>
      </c>
      <c r="Q31" s="81">
        <f t="shared" si="41"/>
        <v>3024697.5</v>
      </c>
      <c r="R31" s="68">
        <f t="shared" si="2"/>
        <v>4152084.75</v>
      </c>
      <c r="S31" s="76">
        <f>S30+S13</f>
        <v>17900709.75</v>
      </c>
    </row>
    <row r="32" spans="1:27" ht="15" customHeight="1" x14ac:dyDescent="0.25">
      <c r="B32" s="82"/>
      <c r="C32" s="15"/>
      <c r="D32" s="15"/>
      <c r="E32" s="83"/>
      <c r="F32" s="83"/>
      <c r="G32" s="83"/>
      <c r="H32" s="83"/>
      <c r="I32" s="83"/>
      <c r="J32" s="83"/>
      <c r="K32" s="83"/>
      <c r="L32" s="83"/>
      <c r="M32" s="84">
        <f>M30+M34</f>
        <v>12918375</v>
      </c>
      <c r="N32" s="85"/>
      <c r="O32" s="85"/>
      <c r="P32" s="83"/>
      <c r="Q32" s="83"/>
      <c r="R32" s="84">
        <f>R30+R34</f>
        <v>3901349.2500000005</v>
      </c>
      <c r="S32" s="85"/>
    </row>
    <row r="33" spans="1:27" ht="15" customHeight="1" x14ac:dyDescent="0.25">
      <c r="B33" s="86" t="s">
        <v>91</v>
      </c>
      <c r="C33" s="87"/>
      <c r="D33" s="87"/>
      <c r="E33" s="83"/>
      <c r="F33" s="83"/>
      <c r="G33" s="83"/>
      <c r="H33" s="83"/>
      <c r="I33" s="83"/>
      <c r="J33" s="83"/>
      <c r="K33" s="83"/>
      <c r="L33" s="83"/>
      <c r="M33" s="84"/>
      <c r="N33" s="85"/>
      <c r="O33" s="85"/>
      <c r="P33" s="83"/>
      <c r="Q33" s="83"/>
      <c r="R33" s="84"/>
      <c r="S33" s="85"/>
    </row>
    <row r="34" spans="1:27" s="80" customFormat="1" ht="15" customHeight="1" x14ac:dyDescent="0.25">
      <c r="A34" s="114">
        <v>16</v>
      </c>
      <c r="B34" s="79" t="s">
        <v>28</v>
      </c>
      <c r="C34" s="53">
        <v>1</v>
      </c>
      <c r="D34" s="115">
        <v>0</v>
      </c>
      <c r="E34" s="115">
        <v>29500</v>
      </c>
      <c r="F34" s="115">
        <v>0</v>
      </c>
      <c r="G34" s="115">
        <v>14750</v>
      </c>
      <c r="H34" s="115">
        <v>0</v>
      </c>
      <c r="I34" s="115">
        <v>0</v>
      </c>
      <c r="J34" s="115">
        <v>0</v>
      </c>
      <c r="K34" s="115">
        <v>44250</v>
      </c>
      <c r="L34" s="115">
        <f>K34*12</f>
        <v>531000</v>
      </c>
      <c r="M34" s="88">
        <v>531000</v>
      </c>
      <c r="N34" s="88">
        <f>M34*0.2/100</f>
        <v>1062</v>
      </c>
      <c r="O34" s="88">
        <f>M34*2.9/100</f>
        <v>15399</v>
      </c>
      <c r="P34" s="115">
        <f>M34*5.1/100</f>
        <v>27081</v>
      </c>
      <c r="Q34" s="115">
        <v>116820</v>
      </c>
      <c r="R34" s="88">
        <f>Q34+P34+O34+N34</f>
        <v>160362</v>
      </c>
      <c r="S34" s="88">
        <f>R34+M34</f>
        <v>691362</v>
      </c>
      <c r="T34" s="55"/>
      <c r="U34" s="55"/>
      <c r="V34" s="55"/>
      <c r="W34" s="55"/>
      <c r="X34" s="55"/>
      <c r="Y34" s="55"/>
      <c r="Z34" s="55"/>
      <c r="AA34" s="55"/>
    </row>
    <row r="35" spans="1:27" ht="15" customHeight="1" x14ac:dyDescent="0.25">
      <c r="A35" s="46"/>
      <c r="B35" s="86" t="s">
        <v>84</v>
      </c>
      <c r="C35" s="43">
        <v>1</v>
      </c>
      <c r="D35" s="115">
        <v>0</v>
      </c>
      <c r="E35" s="81">
        <f t="shared" ref="E35:S35" si="42">E34</f>
        <v>29500</v>
      </c>
      <c r="F35" s="81">
        <f t="shared" si="42"/>
        <v>0</v>
      </c>
      <c r="G35" s="81">
        <f t="shared" si="42"/>
        <v>14750</v>
      </c>
      <c r="H35" s="81">
        <f t="shared" si="42"/>
        <v>0</v>
      </c>
      <c r="I35" s="81">
        <f t="shared" si="42"/>
        <v>0</v>
      </c>
      <c r="J35" s="81">
        <f t="shared" si="42"/>
        <v>0</v>
      </c>
      <c r="K35" s="81">
        <f t="shared" si="42"/>
        <v>44250</v>
      </c>
      <c r="L35" s="81">
        <f t="shared" si="42"/>
        <v>531000</v>
      </c>
      <c r="M35" s="68">
        <f t="shared" si="42"/>
        <v>531000</v>
      </c>
      <c r="N35" s="76">
        <f t="shared" si="42"/>
        <v>1062</v>
      </c>
      <c r="O35" s="76">
        <f t="shared" si="42"/>
        <v>15399</v>
      </c>
      <c r="P35" s="81">
        <f t="shared" si="42"/>
        <v>27081</v>
      </c>
      <c r="Q35" s="81">
        <f t="shared" si="42"/>
        <v>116820</v>
      </c>
      <c r="R35" s="68">
        <f t="shared" si="42"/>
        <v>160362</v>
      </c>
      <c r="S35" s="76">
        <f t="shared" si="42"/>
        <v>691362</v>
      </c>
    </row>
    <row r="36" spans="1:27" s="80" customFormat="1" ht="15" customHeight="1" x14ac:dyDescent="0.25">
      <c r="A36" s="47"/>
      <c r="B36" s="69" t="s">
        <v>114</v>
      </c>
      <c r="C36" s="42">
        <f>C31+C35</f>
        <v>17</v>
      </c>
      <c r="D36" s="42">
        <f>D31</f>
        <v>264</v>
      </c>
      <c r="E36" s="89">
        <f t="shared" ref="E36:S36" si="43">E31+E35</f>
        <v>465100</v>
      </c>
      <c r="F36" s="89">
        <f t="shared" si="43"/>
        <v>178596</v>
      </c>
      <c r="G36" s="89">
        <f t="shared" si="43"/>
        <v>232550</v>
      </c>
      <c r="H36" s="89">
        <f t="shared" si="43"/>
        <v>108900</v>
      </c>
      <c r="I36" s="89">
        <f t="shared" si="43"/>
        <v>108900</v>
      </c>
      <c r="J36" s="89">
        <f t="shared" si="43"/>
        <v>118801</v>
      </c>
      <c r="K36" s="89">
        <f t="shared" si="43"/>
        <v>1212847</v>
      </c>
      <c r="L36" s="89">
        <f t="shared" si="43"/>
        <v>13946007</v>
      </c>
      <c r="M36" s="68">
        <f>M35+M31</f>
        <v>14279625</v>
      </c>
      <c r="N36" s="68">
        <f>N35+N31+N13</f>
        <v>31281.750000000007</v>
      </c>
      <c r="O36" s="68">
        <f>O35+O31+O13</f>
        <v>453585.37500000006</v>
      </c>
      <c r="P36" s="68">
        <f>P35+P31+P13</f>
        <v>797684.62499999988</v>
      </c>
      <c r="Q36" s="68">
        <f>Q35+Q31+Q13</f>
        <v>3440992.5</v>
      </c>
      <c r="R36" s="68">
        <f>R35+R13+R31</f>
        <v>4723544.25</v>
      </c>
      <c r="S36" s="68">
        <f t="shared" si="43"/>
        <v>18592071.75</v>
      </c>
      <c r="T36" s="55"/>
      <c r="U36" s="55"/>
      <c r="V36" s="55"/>
      <c r="W36" s="55"/>
      <c r="X36" s="55"/>
      <c r="Y36" s="55"/>
      <c r="Z36" s="55"/>
      <c r="AA36" s="55"/>
    </row>
    <row r="37" spans="1:27" ht="13.5" customHeight="1" x14ac:dyDescent="0.25">
      <c r="B37" s="82"/>
      <c r="C37" s="15"/>
      <c r="D37" s="15"/>
      <c r="E37" s="83"/>
      <c r="F37" s="83"/>
      <c r="G37" s="83"/>
      <c r="H37" s="83"/>
      <c r="I37" s="83"/>
      <c r="J37" s="83"/>
      <c r="K37" s="83"/>
      <c r="L37" s="83"/>
      <c r="M37" s="84">
        <f>M36-1361300</f>
        <v>12918325</v>
      </c>
      <c r="N37" s="85"/>
      <c r="O37" s="85"/>
      <c r="P37" s="83"/>
      <c r="Q37" s="83"/>
      <c r="R37" s="84">
        <f>R35+R30</f>
        <v>3901349.2500000005</v>
      </c>
      <c r="S37" s="85">
        <f>M37+R37</f>
        <v>16819674.25</v>
      </c>
    </row>
    <row r="38" spans="1:27" ht="13.5" customHeight="1" x14ac:dyDescent="0.25">
      <c r="B38" s="82"/>
      <c r="C38" s="15"/>
      <c r="D38" s="15"/>
      <c r="E38" s="83"/>
      <c r="F38" s="83"/>
      <c r="G38" s="83"/>
      <c r="H38" s="83"/>
      <c r="I38" s="83"/>
      <c r="J38" s="83"/>
      <c r="K38" s="83"/>
      <c r="L38" s="83"/>
      <c r="M38" s="84"/>
      <c r="N38" s="85"/>
      <c r="O38" s="85"/>
      <c r="P38" s="83"/>
      <c r="Q38" s="83"/>
      <c r="R38" s="84"/>
      <c r="S38" s="85">
        <f>M13+R13</f>
        <v>1772347.5</v>
      </c>
    </row>
    <row r="40" spans="1:27" ht="135" x14ac:dyDescent="0.25">
      <c r="B40" s="90"/>
      <c r="D40" s="91" t="s">
        <v>92</v>
      </c>
      <c r="E40" s="91"/>
      <c r="F40" s="91"/>
      <c r="G40" s="91"/>
      <c r="H40" s="91"/>
      <c r="I40" s="91"/>
      <c r="J40" s="91"/>
    </row>
    <row r="41" spans="1:27" x14ac:dyDescent="0.25">
      <c r="B41" s="90"/>
    </row>
    <row r="42" spans="1:27" x14ac:dyDescent="0.25">
      <c r="B42" s="90"/>
    </row>
    <row r="43" spans="1:27" x14ac:dyDescent="0.25">
      <c r="A43" s="15" t="s">
        <v>51</v>
      </c>
    </row>
    <row r="44" spans="1:27" x14ac:dyDescent="0.25">
      <c r="A44" s="15" t="s">
        <v>52</v>
      </c>
    </row>
    <row r="45" spans="1:27" x14ac:dyDescent="0.25">
      <c r="A45" s="15" t="s">
        <v>53</v>
      </c>
    </row>
    <row r="46" spans="1:27" x14ac:dyDescent="0.25">
      <c r="A46" s="15" t="s">
        <v>19</v>
      </c>
    </row>
    <row r="48" spans="1:27" ht="12.75" customHeight="1" x14ac:dyDescent="0.25">
      <c r="A48" s="46"/>
      <c r="B48" s="19" t="s">
        <v>54</v>
      </c>
      <c r="C48" s="19" t="s">
        <v>55</v>
      </c>
      <c r="D48" s="20" t="s">
        <v>56</v>
      </c>
      <c r="E48" s="21" t="s">
        <v>93</v>
      </c>
      <c r="F48" s="22" t="s">
        <v>94</v>
      </c>
      <c r="G48" s="22" t="s">
        <v>59</v>
      </c>
      <c r="H48" s="22" t="s">
        <v>60</v>
      </c>
      <c r="I48" s="22" t="s">
        <v>61</v>
      </c>
      <c r="J48" s="22" t="s">
        <v>61</v>
      </c>
      <c r="K48" s="22" t="s">
        <v>20</v>
      </c>
      <c r="L48" s="28" t="s">
        <v>95</v>
      </c>
      <c r="M48" s="48" t="s">
        <v>96</v>
      </c>
      <c r="N48" s="25" t="s">
        <v>64</v>
      </c>
      <c r="O48" s="25" t="s">
        <v>65</v>
      </c>
      <c r="P48" s="25" t="s">
        <v>66</v>
      </c>
      <c r="Q48" s="26" t="s">
        <v>67</v>
      </c>
      <c r="R48" s="27" t="s">
        <v>68</v>
      </c>
      <c r="S48" s="28" t="s">
        <v>69</v>
      </c>
    </row>
    <row r="49" spans="1:27" s="16" customFormat="1" x14ac:dyDescent="0.25">
      <c r="A49" s="45"/>
      <c r="B49" s="52"/>
      <c r="C49" s="32" t="s">
        <v>97</v>
      </c>
      <c r="D49" s="33" t="s">
        <v>71</v>
      </c>
      <c r="E49" s="34" t="s">
        <v>72</v>
      </c>
      <c r="F49" s="35" t="s">
        <v>73</v>
      </c>
      <c r="G49" s="35" t="s">
        <v>74</v>
      </c>
      <c r="H49" s="35" t="s">
        <v>75</v>
      </c>
      <c r="I49" s="35" t="s">
        <v>76</v>
      </c>
      <c r="J49" s="35" t="s">
        <v>77</v>
      </c>
      <c r="K49" s="35" t="s">
        <v>78</v>
      </c>
      <c r="L49" s="39"/>
      <c r="M49" s="38"/>
      <c r="N49" s="25" t="s">
        <v>98</v>
      </c>
      <c r="O49" s="25" t="s">
        <v>79</v>
      </c>
      <c r="P49" s="25" t="s">
        <v>80</v>
      </c>
      <c r="Q49" s="25" t="s">
        <v>81</v>
      </c>
      <c r="R49" s="38"/>
      <c r="S49" s="39"/>
      <c r="T49" s="49"/>
      <c r="U49" s="49"/>
      <c r="V49" s="49"/>
      <c r="W49" s="49"/>
      <c r="X49" s="49"/>
      <c r="Y49" s="49"/>
      <c r="Z49" s="49"/>
      <c r="AA49" s="49"/>
    </row>
    <row r="50" spans="1:27" ht="18.75" customHeight="1" x14ac:dyDescent="0.25">
      <c r="A50" s="40"/>
      <c r="B50" s="73" t="s">
        <v>85</v>
      </c>
      <c r="C50" s="92"/>
      <c r="D50" s="93"/>
      <c r="E50" s="62"/>
      <c r="F50" s="63"/>
      <c r="G50" s="63"/>
      <c r="H50" s="63"/>
      <c r="I50" s="63"/>
      <c r="J50" s="63"/>
      <c r="K50" s="64"/>
      <c r="L50" s="65"/>
      <c r="M50" s="66"/>
      <c r="N50" s="65"/>
      <c r="O50" s="65"/>
      <c r="P50" s="65"/>
      <c r="Q50" s="65"/>
      <c r="R50" s="66"/>
      <c r="S50" s="65"/>
    </row>
    <row r="51" spans="1:27" ht="18.75" customHeight="1" x14ac:dyDescent="0.25">
      <c r="A51" s="41" t="s">
        <v>5</v>
      </c>
      <c r="B51" s="67" t="s">
        <v>27</v>
      </c>
      <c r="C51" s="41">
        <v>1</v>
      </c>
      <c r="D51" s="41">
        <v>18</v>
      </c>
      <c r="E51" s="25">
        <f>B8*D51</f>
        <v>29700</v>
      </c>
      <c r="F51" s="25">
        <f t="shared" ref="F51:F53" si="44">E51*0.41</f>
        <v>12177</v>
      </c>
      <c r="G51" s="25">
        <f>E51*0.5</f>
        <v>14850</v>
      </c>
      <c r="H51" s="25">
        <f>E51*0.25</f>
        <v>7425</v>
      </c>
      <c r="I51" s="25">
        <f>E51*0.25</f>
        <v>7425</v>
      </c>
      <c r="J51" s="25">
        <v>8250</v>
      </c>
      <c r="K51" s="25">
        <f>E51+F51+G51+H51+I51+J51</f>
        <v>79827</v>
      </c>
      <c r="L51" s="25">
        <f>K51*12</f>
        <v>957924</v>
      </c>
      <c r="M51" s="68">
        <f t="shared" ref="M51:M53" si="45">E51*33</f>
        <v>980100</v>
      </c>
      <c r="N51" s="25">
        <f>M51*N49/100</f>
        <v>1960.2</v>
      </c>
      <c r="O51" s="25">
        <f>M51*O49/100</f>
        <v>28422.9</v>
      </c>
      <c r="P51" s="25">
        <f>M51*P49/100</f>
        <v>49985.1</v>
      </c>
      <c r="Q51" s="25">
        <f>M51*Q49/100</f>
        <v>215622</v>
      </c>
      <c r="R51" s="68">
        <f t="shared" ref="R51:R54" si="46">N51+O51+P51+Q51</f>
        <v>295990.2</v>
      </c>
      <c r="S51" s="25">
        <f>M51+R51</f>
        <v>1276090.2</v>
      </c>
    </row>
    <row r="52" spans="1:27" ht="18.75" customHeight="1" x14ac:dyDescent="0.25">
      <c r="A52" s="41" t="s">
        <v>31</v>
      </c>
      <c r="B52" s="67" t="s">
        <v>18</v>
      </c>
      <c r="C52" s="41">
        <v>1</v>
      </c>
      <c r="D52" s="41">
        <v>16</v>
      </c>
      <c r="E52" s="25">
        <f>B8*D52</f>
        <v>26400</v>
      </c>
      <c r="F52" s="25">
        <f t="shared" si="44"/>
        <v>10824</v>
      </c>
      <c r="G52" s="25">
        <f>E52*0.5</f>
        <v>13200</v>
      </c>
      <c r="H52" s="25">
        <f>E52*0.25</f>
        <v>6600</v>
      </c>
      <c r="I52" s="25">
        <f>E52*0.25</f>
        <v>6600</v>
      </c>
      <c r="J52" s="25">
        <v>6600</v>
      </c>
      <c r="K52" s="25">
        <f>E52+F52+G52+H52+I52+J52</f>
        <v>70224</v>
      </c>
      <c r="L52" s="25">
        <f>K52*12</f>
        <v>842688</v>
      </c>
      <c r="M52" s="68">
        <f t="shared" si="45"/>
        <v>871200</v>
      </c>
      <c r="N52" s="25">
        <f>M52*N49/100</f>
        <v>1742.4</v>
      </c>
      <c r="O52" s="25">
        <f>M52*O49/100</f>
        <v>25264.799999999999</v>
      </c>
      <c r="P52" s="25">
        <f>M52*P49/100</f>
        <v>44431.199999999997</v>
      </c>
      <c r="Q52" s="25">
        <f>M52*Q49/100</f>
        <v>191664</v>
      </c>
      <c r="R52" s="68">
        <f t="shared" si="46"/>
        <v>263102.40000000002</v>
      </c>
      <c r="S52" s="25">
        <f>M52+R52</f>
        <v>1134302.3999999999</v>
      </c>
    </row>
    <row r="53" spans="1:27" ht="18.75" customHeight="1" x14ac:dyDescent="0.25">
      <c r="A53" s="41">
        <v>3</v>
      </c>
      <c r="B53" s="67" t="s">
        <v>17</v>
      </c>
      <c r="C53" s="41">
        <v>1</v>
      </c>
      <c r="D53" s="41">
        <v>15</v>
      </c>
      <c r="E53" s="25">
        <f>B8*D53</f>
        <v>24750</v>
      </c>
      <c r="F53" s="25">
        <f t="shared" si="44"/>
        <v>10147.5</v>
      </c>
      <c r="G53" s="25">
        <f>E53*0.5</f>
        <v>12375</v>
      </c>
      <c r="H53" s="25">
        <f>E53*0.25</f>
        <v>6187.5</v>
      </c>
      <c r="I53" s="25">
        <f>E53*0.25</f>
        <v>6187.5</v>
      </c>
      <c r="J53" s="25">
        <v>6600</v>
      </c>
      <c r="K53" s="25">
        <f>E53+F53+G53+H53+I53+J53</f>
        <v>66247.5</v>
      </c>
      <c r="L53" s="25">
        <f>K53*12</f>
        <v>794970</v>
      </c>
      <c r="M53" s="68">
        <f t="shared" si="45"/>
        <v>816750</v>
      </c>
      <c r="N53" s="25">
        <f>M53*N49/100</f>
        <v>1633.5</v>
      </c>
      <c r="O53" s="25">
        <f>M53*O49/100</f>
        <v>23685.75</v>
      </c>
      <c r="P53" s="25">
        <f>M53*P49/100</f>
        <v>41654.249999999993</v>
      </c>
      <c r="Q53" s="25">
        <f>M53*Q49/100</f>
        <v>179685</v>
      </c>
      <c r="R53" s="68">
        <f t="shared" si="46"/>
        <v>246658.5</v>
      </c>
      <c r="S53" s="25">
        <f>M53+R53</f>
        <v>1063408.5</v>
      </c>
    </row>
    <row r="54" spans="1:27" s="78" customFormat="1" ht="18.75" customHeight="1" x14ac:dyDescent="0.25">
      <c r="A54" s="50"/>
      <c r="B54" s="86" t="s">
        <v>84</v>
      </c>
      <c r="C54" s="43">
        <f>SUM(C51:C53)</f>
        <v>3</v>
      </c>
      <c r="D54" s="43">
        <f>SUM(D51:D53)</f>
        <v>49</v>
      </c>
      <c r="E54" s="76">
        <f t="shared" ref="E54:Q54" si="47">SUM(E51:E53)</f>
        <v>80850</v>
      </c>
      <c r="F54" s="76">
        <f t="shared" si="47"/>
        <v>33148.5</v>
      </c>
      <c r="G54" s="76">
        <f t="shared" si="47"/>
        <v>40425</v>
      </c>
      <c r="H54" s="76">
        <f t="shared" si="47"/>
        <v>20212.5</v>
      </c>
      <c r="I54" s="76">
        <f t="shared" si="47"/>
        <v>20212.5</v>
      </c>
      <c r="J54" s="76">
        <f t="shared" si="47"/>
        <v>21450</v>
      </c>
      <c r="K54" s="76">
        <f t="shared" si="47"/>
        <v>216298.5</v>
      </c>
      <c r="L54" s="76">
        <f t="shared" si="47"/>
        <v>2595582</v>
      </c>
      <c r="M54" s="68">
        <f>SUM(M51:M53)</f>
        <v>2668050</v>
      </c>
      <c r="N54" s="76">
        <f t="shared" si="47"/>
        <v>5336.1</v>
      </c>
      <c r="O54" s="76">
        <f t="shared" si="47"/>
        <v>77373.45</v>
      </c>
      <c r="P54" s="76">
        <f t="shared" si="47"/>
        <v>136070.54999999999</v>
      </c>
      <c r="Q54" s="76">
        <f t="shared" si="47"/>
        <v>586971</v>
      </c>
      <c r="R54" s="68">
        <f t="shared" si="46"/>
        <v>805751.1</v>
      </c>
      <c r="S54" s="76">
        <f>SUM(S51:S53)</f>
        <v>3473801.0999999996</v>
      </c>
      <c r="T54" s="77"/>
      <c r="U54" s="77"/>
      <c r="V54" s="77"/>
      <c r="W54" s="77"/>
      <c r="X54" s="77"/>
      <c r="Y54" s="77"/>
      <c r="Z54" s="77"/>
      <c r="AA54" s="77"/>
    </row>
    <row r="55" spans="1:27" s="78" customFormat="1" ht="18.75" customHeight="1" x14ac:dyDescent="0.25">
      <c r="A55" s="51"/>
      <c r="B55" s="82"/>
      <c r="C55" s="15"/>
      <c r="D55" s="15"/>
      <c r="E55" s="85"/>
      <c r="F55" s="85"/>
      <c r="G55" s="85"/>
      <c r="H55" s="85"/>
      <c r="I55" s="85"/>
      <c r="J55" s="85"/>
      <c r="K55" s="85"/>
      <c r="L55" s="85"/>
      <c r="M55" s="84"/>
      <c r="N55" s="85"/>
      <c r="O55" s="85"/>
      <c r="P55" s="85"/>
      <c r="Q55" s="85"/>
      <c r="R55" s="84"/>
      <c r="S55" s="85"/>
      <c r="T55" s="77"/>
      <c r="U55" s="77"/>
      <c r="V55" s="77"/>
      <c r="W55" s="77"/>
      <c r="X55" s="77"/>
      <c r="Y55" s="77"/>
      <c r="Z55" s="77"/>
      <c r="AA55" s="77"/>
    </row>
    <row r="56" spans="1:27" s="78" customFormat="1" x14ac:dyDescent="0.25">
      <c r="A56" s="51"/>
      <c r="B56" s="82"/>
      <c r="C56" s="15"/>
      <c r="D56" s="15"/>
      <c r="E56" s="85"/>
      <c r="F56" s="85"/>
      <c r="G56" s="85"/>
      <c r="H56" s="85"/>
      <c r="I56" s="85"/>
      <c r="J56" s="85"/>
      <c r="K56" s="85"/>
      <c r="L56" s="85"/>
      <c r="M56" s="84"/>
      <c r="N56" s="85"/>
      <c r="O56" s="85"/>
      <c r="P56" s="85"/>
      <c r="Q56" s="85"/>
      <c r="R56" s="84"/>
      <c r="S56" s="85"/>
      <c r="T56" s="77"/>
      <c r="U56" s="77"/>
      <c r="V56" s="77"/>
      <c r="W56" s="77"/>
      <c r="X56" s="77"/>
      <c r="Y56" s="77"/>
      <c r="Z56" s="77"/>
      <c r="AA56" s="77"/>
    </row>
    <row r="57" spans="1:27" ht="15" customHeight="1" x14ac:dyDescent="0.25">
      <c r="D57" s="91" t="s">
        <v>92</v>
      </c>
      <c r="E57" s="91"/>
      <c r="F57" s="91"/>
      <c r="G57" s="91"/>
      <c r="H57" s="91"/>
      <c r="I57" s="91"/>
      <c r="J57" s="30"/>
      <c r="K57" s="30"/>
      <c r="L57" s="30"/>
    </row>
    <row r="58" spans="1:27" ht="10.5" customHeight="1" x14ac:dyDescent="0.25"/>
    <row r="59" spans="1:27" ht="10.5" customHeight="1" x14ac:dyDescent="0.25"/>
    <row r="60" spans="1:27" x14ac:dyDescent="0.25">
      <c r="A60" s="15" t="s">
        <v>51</v>
      </c>
    </row>
    <row r="61" spans="1:27" x14ac:dyDescent="0.25">
      <c r="A61" s="15" t="s">
        <v>99</v>
      </c>
    </row>
    <row r="62" spans="1:27" x14ac:dyDescent="0.25">
      <c r="A62" s="15" t="s">
        <v>53</v>
      </c>
    </row>
    <row r="65" spans="1:27" s="16" customFormat="1" x14ac:dyDescent="0.25">
      <c r="A65" s="46"/>
      <c r="B65" s="19" t="s">
        <v>54</v>
      </c>
      <c r="C65" s="19" t="s">
        <v>55</v>
      </c>
      <c r="D65" s="20" t="s">
        <v>56</v>
      </c>
      <c r="E65" s="21" t="s">
        <v>93</v>
      </c>
      <c r="F65" s="22" t="s">
        <v>94</v>
      </c>
      <c r="G65" s="22" t="s">
        <v>59</v>
      </c>
      <c r="H65" s="22" t="s">
        <v>60</v>
      </c>
      <c r="I65" s="22" t="s">
        <v>61</v>
      </c>
      <c r="J65" s="22" t="s">
        <v>61</v>
      </c>
      <c r="K65" s="22" t="s">
        <v>20</v>
      </c>
      <c r="L65" s="28" t="s">
        <v>95</v>
      </c>
      <c r="M65" s="48" t="s">
        <v>96</v>
      </c>
      <c r="N65" s="25" t="s">
        <v>100</v>
      </c>
      <c r="O65" s="25" t="s">
        <v>65</v>
      </c>
      <c r="P65" s="25" t="s">
        <v>66</v>
      </c>
      <c r="Q65" s="26" t="s">
        <v>67</v>
      </c>
      <c r="R65" s="27" t="s">
        <v>101</v>
      </c>
      <c r="S65" s="28" t="s">
        <v>69</v>
      </c>
      <c r="T65" s="49"/>
      <c r="U65" s="49"/>
      <c r="V65" s="49"/>
      <c r="W65" s="49"/>
      <c r="X65" s="49"/>
      <c r="Y65" s="49"/>
      <c r="Z65" s="49"/>
      <c r="AA65" s="49"/>
    </row>
    <row r="66" spans="1:27" s="16" customFormat="1" x14ac:dyDescent="0.25">
      <c r="A66" s="45"/>
      <c r="B66" s="52"/>
      <c r="C66" s="32" t="s">
        <v>97</v>
      </c>
      <c r="D66" s="33" t="s">
        <v>71</v>
      </c>
      <c r="E66" s="34" t="s">
        <v>72</v>
      </c>
      <c r="F66" s="35" t="s">
        <v>73</v>
      </c>
      <c r="G66" s="35" t="s">
        <v>74</v>
      </c>
      <c r="H66" s="35" t="s">
        <v>75</v>
      </c>
      <c r="I66" s="35" t="s">
        <v>76</v>
      </c>
      <c r="J66" s="35" t="s">
        <v>77</v>
      </c>
      <c r="K66" s="35" t="s">
        <v>78</v>
      </c>
      <c r="L66" s="39"/>
      <c r="M66" s="38"/>
      <c r="N66" s="25" t="s">
        <v>98</v>
      </c>
      <c r="O66" s="25" t="s">
        <v>79</v>
      </c>
      <c r="P66" s="25" t="s">
        <v>80</v>
      </c>
      <c r="Q66" s="25" t="s">
        <v>81</v>
      </c>
      <c r="R66" s="38"/>
      <c r="S66" s="39"/>
      <c r="T66" s="49"/>
      <c r="U66" s="49"/>
      <c r="V66" s="49"/>
      <c r="W66" s="49"/>
      <c r="X66" s="49"/>
      <c r="Y66" s="49"/>
      <c r="Z66" s="49"/>
      <c r="AA66" s="49"/>
    </row>
    <row r="67" spans="1:27" ht="14.25" customHeight="1" x14ac:dyDescent="0.25">
      <c r="A67" s="40"/>
      <c r="B67" s="94" t="s">
        <v>102</v>
      </c>
      <c r="C67" s="95"/>
      <c r="D67" s="96"/>
      <c r="E67" s="62"/>
      <c r="F67" s="63"/>
      <c r="G67" s="63"/>
      <c r="H67" s="63"/>
      <c r="I67" s="63"/>
      <c r="J67" s="63"/>
      <c r="K67" s="64"/>
      <c r="L67" s="65"/>
      <c r="M67" s="66"/>
      <c r="N67" s="65"/>
      <c r="O67" s="65"/>
      <c r="P67" s="65"/>
      <c r="Q67" s="65"/>
      <c r="R67" s="66"/>
      <c r="S67" s="65"/>
    </row>
    <row r="68" spans="1:27" s="80" customFormat="1" ht="14.25" customHeight="1" x14ac:dyDescent="0.25">
      <c r="A68" s="53" t="s">
        <v>5</v>
      </c>
      <c r="B68" s="97" t="s">
        <v>103</v>
      </c>
      <c r="C68" s="98">
        <v>1</v>
      </c>
      <c r="D68" s="98">
        <v>25</v>
      </c>
      <c r="E68" s="88">
        <f>B8*D68</f>
        <v>41250</v>
      </c>
      <c r="F68" s="88">
        <f>E68*0.41</f>
        <v>16912.5</v>
      </c>
      <c r="G68" s="88">
        <f>E68*0.5</f>
        <v>20625</v>
      </c>
      <c r="H68" s="88">
        <f>E68*0.25</f>
        <v>10312.5</v>
      </c>
      <c r="I68" s="88">
        <f>E68*0.25</f>
        <v>10312.5</v>
      </c>
      <c r="J68" s="88">
        <v>13200</v>
      </c>
      <c r="K68" s="88">
        <f>E68+F68+G68+H68+I68+J68</f>
        <v>112612.5</v>
      </c>
      <c r="L68" s="88">
        <f>K68*12</f>
        <v>1351350</v>
      </c>
      <c r="M68" s="68">
        <f>E68*33</f>
        <v>1361250</v>
      </c>
      <c r="N68" s="88">
        <f>M68*0.2/100</f>
        <v>2722.5</v>
      </c>
      <c r="O68" s="88">
        <f>M68*O10/100</f>
        <v>39476.25</v>
      </c>
      <c r="P68" s="88">
        <f>M68*P66/100</f>
        <v>69423.749999999985</v>
      </c>
      <c r="Q68" s="88">
        <f>M68*Q66/100</f>
        <v>299475</v>
      </c>
      <c r="R68" s="68">
        <f>Q68+P68+O68+N68</f>
        <v>411097.5</v>
      </c>
      <c r="S68" s="88">
        <f>R68+M68</f>
        <v>1772347.5</v>
      </c>
      <c r="T68" s="55"/>
      <c r="U68" s="55"/>
      <c r="V68" s="55"/>
      <c r="W68" s="55"/>
      <c r="X68" s="55"/>
      <c r="Y68" s="55"/>
      <c r="Z68" s="55"/>
      <c r="AA68" s="55"/>
    </row>
    <row r="69" spans="1:27" s="78" customFormat="1" ht="14.25" customHeight="1" x14ac:dyDescent="0.25">
      <c r="A69" s="43"/>
      <c r="B69" s="86" t="s">
        <v>84</v>
      </c>
      <c r="C69" s="99">
        <v>1</v>
      </c>
      <c r="D69" s="99">
        <v>25</v>
      </c>
      <c r="E69" s="76">
        <f t="shared" ref="E69:S69" si="48">SUM(E68:E68)</f>
        <v>41250</v>
      </c>
      <c r="F69" s="76">
        <f t="shared" si="48"/>
        <v>16912.5</v>
      </c>
      <c r="G69" s="76">
        <f t="shared" si="48"/>
        <v>20625</v>
      </c>
      <c r="H69" s="76">
        <f t="shared" si="48"/>
        <v>10312.5</v>
      </c>
      <c r="I69" s="76">
        <f t="shared" si="48"/>
        <v>10312.5</v>
      </c>
      <c r="J69" s="76">
        <f t="shared" si="48"/>
        <v>13200</v>
      </c>
      <c r="K69" s="76">
        <f t="shared" si="48"/>
        <v>112612.5</v>
      </c>
      <c r="L69" s="76">
        <f t="shared" si="48"/>
        <v>1351350</v>
      </c>
      <c r="M69" s="68">
        <f t="shared" si="48"/>
        <v>1361250</v>
      </c>
      <c r="N69" s="76">
        <f t="shared" si="48"/>
        <v>2722.5</v>
      </c>
      <c r="O69" s="76">
        <f t="shared" si="48"/>
        <v>39476.25</v>
      </c>
      <c r="P69" s="76">
        <f t="shared" si="48"/>
        <v>69423.749999999985</v>
      </c>
      <c r="Q69" s="76">
        <f t="shared" si="48"/>
        <v>299475</v>
      </c>
      <c r="R69" s="68">
        <f t="shared" si="48"/>
        <v>411097.5</v>
      </c>
      <c r="S69" s="76">
        <f t="shared" si="48"/>
        <v>1772347.5</v>
      </c>
      <c r="T69" s="77"/>
      <c r="U69" s="77"/>
      <c r="V69" s="77"/>
      <c r="W69" s="77"/>
      <c r="X69" s="77"/>
      <c r="Y69" s="77"/>
      <c r="Z69" s="77"/>
      <c r="AA69" s="77"/>
    </row>
    <row r="70" spans="1:27" s="80" customFormat="1" ht="14.25" customHeight="1" x14ac:dyDescent="0.25">
      <c r="A70" s="53">
        <v>2</v>
      </c>
      <c r="B70" s="100" t="s">
        <v>104</v>
      </c>
      <c r="C70" s="98">
        <v>1</v>
      </c>
      <c r="D70" s="98">
        <v>21</v>
      </c>
      <c r="E70" s="88">
        <f>D70*B8</f>
        <v>34650</v>
      </c>
      <c r="F70" s="88">
        <f>E70*0.41</f>
        <v>14206.5</v>
      </c>
      <c r="G70" s="88">
        <f>E70*0.5</f>
        <v>17325</v>
      </c>
      <c r="H70" s="88">
        <f>E70*0.25</f>
        <v>8662.5</v>
      </c>
      <c r="I70" s="88">
        <f>E70*0.25</f>
        <v>8662.5</v>
      </c>
      <c r="J70" s="88">
        <v>11550</v>
      </c>
      <c r="K70" s="88">
        <f>E70+F70+G70+H70+I70+J70</f>
        <v>95056.5</v>
      </c>
      <c r="L70" s="88">
        <f>K70*12</f>
        <v>1140678</v>
      </c>
      <c r="M70" s="68">
        <f>E70*33</f>
        <v>1143450</v>
      </c>
      <c r="N70" s="88">
        <f>M70*N66/100</f>
        <v>2286.9</v>
      </c>
      <c r="O70" s="88">
        <f>M70*O66/100</f>
        <v>33160.050000000003</v>
      </c>
      <c r="P70" s="88">
        <f>M70*P66/100</f>
        <v>58315.95</v>
      </c>
      <c r="Q70" s="88">
        <f>M70*Q66/100</f>
        <v>251559</v>
      </c>
      <c r="R70" s="68">
        <f>Q70+P70+O70+N70</f>
        <v>345321.9</v>
      </c>
      <c r="S70" s="88">
        <f>R70+M70</f>
        <v>1488771.9</v>
      </c>
      <c r="T70" s="55"/>
      <c r="U70" s="55"/>
      <c r="V70" s="55"/>
      <c r="W70" s="55"/>
      <c r="X70" s="55"/>
      <c r="Y70" s="55"/>
      <c r="Z70" s="55"/>
      <c r="AA70" s="55"/>
    </row>
    <row r="71" spans="1:27" s="78" customFormat="1" ht="14.25" customHeight="1" x14ac:dyDescent="0.25">
      <c r="A71" s="43"/>
      <c r="B71" s="86" t="s">
        <v>105</v>
      </c>
      <c r="C71" s="99">
        <f>C70</f>
        <v>1</v>
      </c>
      <c r="D71" s="99">
        <f t="shared" ref="D71:S71" si="49">D70</f>
        <v>21</v>
      </c>
      <c r="E71" s="101">
        <f t="shared" si="49"/>
        <v>34650</v>
      </c>
      <c r="F71" s="101">
        <f t="shared" si="49"/>
        <v>14206.5</v>
      </c>
      <c r="G71" s="101">
        <f t="shared" si="49"/>
        <v>17325</v>
      </c>
      <c r="H71" s="101">
        <f t="shared" si="49"/>
        <v>8662.5</v>
      </c>
      <c r="I71" s="101">
        <f t="shared" si="49"/>
        <v>8662.5</v>
      </c>
      <c r="J71" s="101">
        <f t="shared" si="49"/>
        <v>11550</v>
      </c>
      <c r="K71" s="101">
        <f t="shared" si="49"/>
        <v>95056.5</v>
      </c>
      <c r="L71" s="101">
        <f t="shared" si="49"/>
        <v>1140678</v>
      </c>
      <c r="M71" s="102">
        <f t="shared" si="49"/>
        <v>1143450</v>
      </c>
      <c r="N71" s="101">
        <f t="shared" si="49"/>
        <v>2286.9</v>
      </c>
      <c r="O71" s="101">
        <f t="shared" si="49"/>
        <v>33160.050000000003</v>
      </c>
      <c r="P71" s="101">
        <f t="shared" si="49"/>
        <v>58315.95</v>
      </c>
      <c r="Q71" s="101">
        <f t="shared" si="49"/>
        <v>251559</v>
      </c>
      <c r="R71" s="102">
        <f t="shared" si="49"/>
        <v>345321.9</v>
      </c>
      <c r="S71" s="101">
        <f t="shared" si="49"/>
        <v>1488771.9</v>
      </c>
      <c r="T71" s="77"/>
      <c r="U71" s="77"/>
      <c r="V71" s="77"/>
      <c r="W71" s="77"/>
      <c r="X71" s="77"/>
      <c r="Y71" s="77"/>
      <c r="Z71" s="77"/>
      <c r="AA71" s="77"/>
    </row>
    <row r="72" spans="1:27" ht="14.25" customHeight="1" x14ac:dyDescent="0.25">
      <c r="A72" s="41"/>
      <c r="B72" s="103" t="s">
        <v>106</v>
      </c>
      <c r="C72" s="104"/>
      <c r="D72" s="105"/>
      <c r="E72" s="2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7"/>
    </row>
    <row r="73" spans="1:27" s="80" customFormat="1" ht="14.25" customHeight="1" x14ac:dyDescent="0.25">
      <c r="A73" s="53">
        <v>3</v>
      </c>
      <c r="B73" s="108" t="s">
        <v>15</v>
      </c>
      <c r="C73" s="53" t="s">
        <v>5</v>
      </c>
      <c r="D73" s="53">
        <v>19</v>
      </c>
      <c r="E73" s="88">
        <f>B8*D73</f>
        <v>31350</v>
      </c>
      <c r="F73" s="88">
        <f t="shared" ref="F73:F76" si="50">E73*0.41</f>
        <v>12853.5</v>
      </c>
      <c r="G73" s="88">
        <f>E73*0.5</f>
        <v>15675</v>
      </c>
      <c r="H73" s="88">
        <f>E73*0.25</f>
        <v>7837.5</v>
      </c>
      <c r="I73" s="88">
        <f>E73*0.25</f>
        <v>7837.5</v>
      </c>
      <c r="J73" s="88">
        <v>11550</v>
      </c>
      <c r="K73" s="88">
        <f>E73+F73+G73+H73+I73+J73</f>
        <v>87103.5</v>
      </c>
      <c r="L73" s="88">
        <f>K73*12</f>
        <v>1045242</v>
      </c>
      <c r="M73" s="68">
        <f>E73*33</f>
        <v>1034550</v>
      </c>
      <c r="N73" s="88">
        <f>M73*N66/100</f>
        <v>2069.1</v>
      </c>
      <c r="O73" s="88">
        <f>M73*O66/100</f>
        <v>30001.95</v>
      </c>
      <c r="P73" s="88">
        <f>M73*P66/100</f>
        <v>52762.05</v>
      </c>
      <c r="Q73" s="88">
        <f>M73*Q66/100</f>
        <v>227601</v>
      </c>
      <c r="R73" s="68">
        <f>Q73+P73+O73+N73</f>
        <v>312434.09999999998</v>
      </c>
      <c r="S73" s="88">
        <f>R73+M73</f>
        <v>1346984.1</v>
      </c>
      <c r="T73" s="55"/>
      <c r="U73" s="55"/>
      <c r="V73" s="55"/>
      <c r="W73" s="55"/>
      <c r="X73" s="55"/>
      <c r="Y73" s="55"/>
      <c r="Z73" s="55"/>
      <c r="AA73" s="55"/>
    </row>
    <row r="74" spans="1:27" s="80" customFormat="1" ht="14.25" customHeight="1" x14ac:dyDescent="0.25">
      <c r="A74" s="53">
        <v>4</v>
      </c>
      <c r="B74" s="108" t="s">
        <v>18</v>
      </c>
      <c r="C74" s="53">
        <v>1</v>
      </c>
      <c r="D74" s="53">
        <v>16</v>
      </c>
      <c r="E74" s="88">
        <f>D74*B8</f>
        <v>26400</v>
      </c>
      <c r="F74" s="88">
        <f t="shared" si="50"/>
        <v>10824</v>
      </c>
      <c r="G74" s="88">
        <f>E74*0.5</f>
        <v>13200</v>
      </c>
      <c r="H74" s="88">
        <f>E74*0.25</f>
        <v>6600</v>
      </c>
      <c r="I74" s="88">
        <f>E74*0.25</f>
        <v>6600</v>
      </c>
      <c r="J74" s="88">
        <v>6600</v>
      </c>
      <c r="K74" s="88">
        <f>E74+F74+G74+H74+I74+J74</f>
        <v>70224</v>
      </c>
      <c r="L74" s="88">
        <f>K74*12</f>
        <v>842688</v>
      </c>
      <c r="M74" s="68">
        <f t="shared" ref="M74:M77" si="51">E74*33</f>
        <v>871200</v>
      </c>
      <c r="N74" s="88">
        <f>M74*N10/100</f>
        <v>1742.4</v>
      </c>
      <c r="O74" s="88">
        <f>M74*O10/100</f>
        <v>25264.799999999999</v>
      </c>
      <c r="P74" s="88">
        <f>M74*P10/100</f>
        <v>44431.199999999997</v>
      </c>
      <c r="Q74" s="88">
        <f>M74*Q10/100</f>
        <v>191664</v>
      </c>
      <c r="R74" s="68">
        <f t="shared" ref="R74:R77" si="52">Q74+P74+O74+N74</f>
        <v>263102.40000000002</v>
      </c>
      <c r="S74" s="88">
        <f t="shared" ref="S74:S77" si="53">R74+M74</f>
        <v>1134302.3999999999</v>
      </c>
      <c r="T74" s="55"/>
      <c r="U74" s="55"/>
      <c r="V74" s="55"/>
      <c r="W74" s="55"/>
      <c r="X74" s="55"/>
      <c r="Y74" s="55"/>
      <c r="Z74" s="55"/>
      <c r="AA74" s="55"/>
    </row>
    <row r="75" spans="1:27" s="80" customFormat="1" ht="14.25" customHeight="1" x14ac:dyDescent="0.25">
      <c r="A75" s="53">
        <v>5</v>
      </c>
      <c r="B75" s="108" t="s">
        <v>17</v>
      </c>
      <c r="C75" s="53" t="s">
        <v>5</v>
      </c>
      <c r="D75" s="53">
        <v>15</v>
      </c>
      <c r="E75" s="88">
        <f>B8*D75</f>
        <v>24750</v>
      </c>
      <c r="F75" s="88">
        <f t="shared" si="50"/>
        <v>10147.5</v>
      </c>
      <c r="G75" s="88">
        <f t="shared" ref="G75:G76" si="54">E75*0.5</f>
        <v>12375</v>
      </c>
      <c r="H75" s="88">
        <f t="shared" ref="H75:H76" si="55">E75*0.25</f>
        <v>6187.5</v>
      </c>
      <c r="I75" s="88">
        <f t="shared" ref="I75:I76" si="56">E75*0.25</f>
        <v>6187.5</v>
      </c>
      <c r="J75" s="88">
        <v>6600</v>
      </c>
      <c r="K75" s="88">
        <f>E75+F75+G75+H75+I75+J75</f>
        <v>66247.5</v>
      </c>
      <c r="L75" s="88">
        <f t="shared" ref="L75:L76" si="57">K75*12</f>
        <v>794970</v>
      </c>
      <c r="M75" s="68">
        <f t="shared" si="51"/>
        <v>816750</v>
      </c>
      <c r="N75" s="88">
        <f>M75*N66/100</f>
        <v>1633.5</v>
      </c>
      <c r="O75" s="88">
        <f>M75*O66/100</f>
        <v>23685.75</v>
      </c>
      <c r="P75" s="88">
        <f>M75*P66/100</f>
        <v>41654.249999999993</v>
      </c>
      <c r="Q75" s="88">
        <f>M75*Q66/100</f>
        <v>179685</v>
      </c>
      <c r="R75" s="68">
        <f t="shared" si="52"/>
        <v>246658.5</v>
      </c>
      <c r="S75" s="88">
        <f t="shared" si="53"/>
        <v>1063408.5</v>
      </c>
      <c r="T75" s="55"/>
      <c r="U75" s="55"/>
      <c r="V75" s="55"/>
      <c r="W75" s="55"/>
      <c r="X75" s="55"/>
      <c r="Y75" s="55"/>
      <c r="Z75" s="55"/>
      <c r="AA75" s="55"/>
    </row>
    <row r="76" spans="1:27" s="80" customFormat="1" ht="14.25" customHeight="1" x14ac:dyDescent="0.25">
      <c r="A76" s="53">
        <v>6</v>
      </c>
      <c r="B76" s="108" t="s">
        <v>24</v>
      </c>
      <c r="C76" s="53">
        <v>1</v>
      </c>
      <c r="D76" s="53">
        <v>13</v>
      </c>
      <c r="E76" s="88">
        <f t="shared" ref="E76:E77" si="58">D76*1650</f>
        <v>21450</v>
      </c>
      <c r="F76" s="88">
        <f t="shared" si="50"/>
        <v>8794.5</v>
      </c>
      <c r="G76" s="88">
        <f t="shared" si="54"/>
        <v>10725</v>
      </c>
      <c r="H76" s="88">
        <f t="shared" si="55"/>
        <v>5362.5</v>
      </c>
      <c r="I76" s="88">
        <f t="shared" si="56"/>
        <v>5362.5</v>
      </c>
      <c r="J76" s="88">
        <v>4950</v>
      </c>
      <c r="K76" s="88">
        <f>E76+F76+G76+H76+I76+J76</f>
        <v>56644.5</v>
      </c>
      <c r="L76" s="88">
        <f t="shared" si="57"/>
        <v>679734</v>
      </c>
      <c r="M76" s="68">
        <f t="shared" si="51"/>
        <v>707850</v>
      </c>
      <c r="N76" s="88">
        <f>M76*N10/100</f>
        <v>1415.7</v>
      </c>
      <c r="O76" s="88">
        <f>M76*O10/100</f>
        <v>20527.650000000001</v>
      </c>
      <c r="P76" s="88">
        <f>M76*P10/100</f>
        <v>36100.35</v>
      </c>
      <c r="Q76" s="88">
        <f>M76*Q10/100</f>
        <v>155727</v>
      </c>
      <c r="R76" s="68">
        <f t="shared" si="52"/>
        <v>213770.7</v>
      </c>
      <c r="S76" s="88">
        <f t="shared" si="53"/>
        <v>921620.7</v>
      </c>
      <c r="T76" s="55"/>
      <c r="U76" s="55"/>
      <c r="V76" s="55"/>
      <c r="W76" s="55"/>
      <c r="X76" s="55"/>
      <c r="Y76" s="55"/>
      <c r="Z76" s="55"/>
      <c r="AA76" s="55"/>
    </row>
    <row r="77" spans="1:27" s="80" customFormat="1" ht="14.25" customHeight="1" x14ac:dyDescent="0.25">
      <c r="A77" s="53">
        <v>9</v>
      </c>
      <c r="B77" s="97" t="s">
        <v>37</v>
      </c>
      <c r="C77" s="98">
        <v>1</v>
      </c>
      <c r="D77" s="98">
        <v>11</v>
      </c>
      <c r="E77" s="88">
        <f t="shared" si="58"/>
        <v>18150</v>
      </c>
      <c r="F77" s="88">
        <f>E77*0.25</f>
        <v>4537.5</v>
      </c>
      <c r="G77" s="88">
        <f>E77*0.5</f>
        <v>9075</v>
      </c>
      <c r="H77" s="88">
        <f>E77*0.25</f>
        <v>4537.5</v>
      </c>
      <c r="I77" s="88">
        <f>E77*0.25</f>
        <v>4537.5</v>
      </c>
      <c r="J77" s="88">
        <v>0</v>
      </c>
      <c r="K77" s="88">
        <f>E77+F77+G77+H77+I77+J77</f>
        <v>40837.5</v>
      </c>
      <c r="L77" s="88">
        <f>K77*12</f>
        <v>490050</v>
      </c>
      <c r="M77" s="68">
        <f t="shared" si="51"/>
        <v>598950</v>
      </c>
      <c r="N77" s="88">
        <f>M77*N66/100</f>
        <v>1197.9000000000001</v>
      </c>
      <c r="O77" s="88">
        <f>M77*O66/100</f>
        <v>17369.55</v>
      </c>
      <c r="P77" s="88">
        <f>M77*P66/100</f>
        <v>30546.45</v>
      </c>
      <c r="Q77" s="88">
        <f>M77*Q66/100</f>
        <v>131769</v>
      </c>
      <c r="R77" s="68">
        <f t="shared" si="52"/>
        <v>180882.9</v>
      </c>
      <c r="S77" s="88">
        <f t="shared" si="53"/>
        <v>779832.9</v>
      </c>
      <c r="T77" s="55"/>
      <c r="U77" s="55"/>
      <c r="V77" s="55"/>
      <c r="W77" s="55"/>
      <c r="X77" s="55"/>
      <c r="Y77" s="55"/>
      <c r="Z77" s="55"/>
      <c r="AA77" s="55"/>
    </row>
    <row r="78" spans="1:27" s="78" customFormat="1" ht="14.25" customHeight="1" x14ac:dyDescent="0.25">
      <c r="A78" s="43"/>
      <c r="B78" s="86" t="s">
        <v>84</v>
      </c>
      <c r="C78" s="43">
        <f>C73+C74+C75+C76+C77</f>
        <v>5</v>
      </c>
      <c r="D78" s="43">
        <f t="shared" ref="D78:Q78" si="59">SUM(D73:D77)</f>
        <v>74</v>
      </c>
      <c r="E78" s="76">
        <f t="shared" si="59"/>
        <v>122100</v>
      </c>
      <c r="F78" s="76">
        <f t="shared" si="59"/>
        <v>47157</v>
      </c>
      <c r="G78" s="76">
        <f t="shared" si="59"/>
        <v>61050</v>
      </c>
      <c r="H78" s="76">
        <f t="shared" si="59"/>
        <v>30525</v>
      </c>
      <c r="I78" s="76">
        <f t="shared" si="59"/>
        <v>30525</v>
      </c>
      <c r="J78" s="76">
        <f t="shared" si="59"/>
        <v>29700</v>
      </c>
      <c r="K78" s="76">
        <f t="shared" si="59"/>
        <v>321057</v>
      </c>
      <c r="L78" s="76">
        <f t="shared" si="59"/>
        <v>3852684</v>
      </c>
      <c r="M78" s="68">
        <f t="shared" si="59"/>
        <v>4029300</v>
      </c>
      <c r="N78" s="76">
        <f t="shared" si="59"/>
        <v>8058.6</v>
      </c>
      <c r="O78" s="76">
        <f t="shared" si="59"/>
        <v>116849.7</v>
      </c>
      <c r="P78" s="76">
        <f t="shared" si="59"/>
        <v>205494.30000000002</v>
      </c>
      <c r="Q78" s="76">
        <f t="shared" si="59"/>
        <v>886446</v>
      </c>
      <c r="R78" s="68">
        <f>R77+R76+R75+R74+R73</f>
        <v>1216848.6000000001</v>
      </c>
      <c r="S78" s="76">
        <f>S77+S76+S75+S74+S73</f>
        <v>5246148.5999999996</v>
      </c>
      <c r="T78" s="77"/>
      <c r="U78" s="77"/>
      <c r="V78" s="77"/>
      <c r="W78" s="77"/>
      <c r="X78" s="77"/>
      <c r="Y78" s="77"/>
      <c r="Z78" s="77"/>
      <c r="AA78" s="77"/>
    </row>
    <row r="79" spans="1:27" s="78" customFormat="1" ht="14.25" customHeight="1" x14ac:dyDescent="0.25">
      <c r="A79" s="43"/>
      <c r="B79" s="109" t="s">
        <v>107</v>
      </c>
      <c r="C79" s="99">
        <f t="shared" ref="C79:L79" si="60">C69+C78+C71</f>
        <v>7</v>
      </c>
      <c r="D79" s="99">
        <f t="shared" si="60"/>
        <v>120</v>
      </c>
      <c r="E79" s="101">
        <f t="shared" si="60"/>
        <v>198000</v>
      </c>
      <c r="F79" s="101">
        <f t="shared" si="60"/>
        <v>78276</v>
      </c>
      <c r="G79" s="101">
        <f t="shared" si="60"/>
        <v>99000</v>
      </c>
      <c r="H79" s="101">
        <f t="shared" si="60"/>
        <v>49500</v>
      </c>
      <c r="I79" s="101">
        <f t="shared" si="60"/>
        <v>49500</v>
      </c>
      <c r="J79" s="101">
        <f t="shared" si="60"/>
        <v>54450</v>
      </c>
      <c r="K79" s="101">
        <f t="shared" si="60"/>
        <v>528726</v>
      </c>
      <c r="L79" s="101">
        <f t="shared" si="60"/>
        <v>6344712</v>
      </c>
      <c r="M79" s="102">
        <f>M69+M71+M78</f>
        <v>6534000</v>
      </c>
      <c r="N79" s="101">
        <f t="shared" ref="N79:Q79" si="61">N69+N78+N71</f>
        <v>13068</v>
      </c>
      <c r="O79" s="101">
        <f t="shared" si="61"/>
        <v>189486</v>
      </c>
      <c r="P79" s="101">
        <f t="shared" si="61"/>
        <v>333234</v>
      </c>
      <c r="Q79" s="101">
        <f t="shared" si="61"/>
        <v>1437480</v>
      </c>
      <c r="R79" s="102">
        <f>R78+R70+R68</f>
        <v>1973268</v>
      </c>
      <c r="S79" s="101">
        <f>S78+S71+S69</f>
        <v>8507268</v>
      </c>
      <c r="T79" s="77"/>
      <c r="U79" s="77"/>
      <c r="V79" s="77"/>
      <c r="W79" s="77"/>
      <c r="X79" s="77"/>
      <c r="Y79" s="77"/>
      <c r="Z79" s="77"/>
      <c r="AA79" s="77"/>
    </row>
    <row r="80" spans="1:27" s="110" customFormat="1" x14ac:dyDescent="0.25">
      <c r="A80" s="54"/>
      <c r="M80" s="111"/>
      <c r="R80" s="111"/>
    </row>
    <row r="81" spans="4:19" x14ac:dyDescent="0.25">
      <c r="D81" s="30" t="s">
        <v>108</v>
      </c>
      <c r="E81" s="30"/>
      <c r="F81" s="30"/>
      <c r="G81" s="30"/>
      <c r="H81" s="30"/>
      <c r="I81" s="30"/>
      <c r="R81" s="55" t="s">
        <v>109</v>
      </c>
      <c r="S81" s="29">
        <f>S79+S36</f>
        <v>27099339.75</v>
      </c>
    </row>
    <row r="83" spans="4:19" x14ac:dyDescent="0.25">
      <c r="D83" s="112"/>
      <c r="R83" s="55" t="s">
        <v>110</v>
      </c>
      <c r="S83" s="29">
        <v>26357900</v>
      </c>
    </row>
    <row r="85" spans="4:19" x14ac:dyDescent="0.25">
      <c r="R85" s="55" t="s">
        <v>111</v>
      </c>
      <c r="S85" s="29">
        <f>S83-S81</f>
        <v>-741439.75</v>
      </c>
    </row>
  </sheetData>
  <mergeCells count="1">
    <mergeCell ref="A27:A28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Штатное №2</vt:lpstr>
      <vt:lpstr>Структура №2</vt:lpstr>
      <vt:lpstr>Расчет ФОТ №2 с 2-я спецами 2 к</vt:lpstr>
      <vt:lpstr>'Штатное №2'!Область_печати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svetlana</cp:lastModifiedBy>
  <cp:lastPrinted>2023-09-29T05:59:08Z</cp:lastPrinted>
  <dcterms:created xsi:type="dcterms:W3CDTF">2017-10-20T08:49:42Z</dcterms:created>
  <dcterms:modified xsi:type="dcterms:W3CDTF">2023-10-02T08:56:03Z</dcterms:modified>
</cp:coreProperties>
</file>